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checkCompatibility="1"/>
  <bookViews>
    <workbookView xWindow="0" yWindow="8760" windowWidth="5445" windowHeight="10935" tabRatio="957" activeTab="35"/>
  </bookViews>
  <sheets>
    <sheet name="Деф" sheetId="17" r:id="rId1"/>
    <sheet name="АдмДох" sheetId="47" state="hidden" r:id="rId2"/>
    <sheet name="АдмИст" sheetId="23" state="hidden" r:id="rId3"/>
    <sheet name="Норм" sheetId="56" state="hidden" r:id="rId4"/>
    <sheet name="Дох " sheetId="44" r:id="rId5"/>
    <sheet name="Вед22" sheetId="4" r:id="rId6"/>
    <sheet name="вед 23-24" sheetId="45" state="hidden" r:id="rId7"/>
    <sheet name="Фун22" sheetId="3" r:id="rId8"/>
    <sheet name="Фун 23-24" sheetId="48" state="hidden" r:id="rId9"/>
    <sheet name="ЦСР 22" sheetId="50" r:id="rId10"/>
    <sheet name="ЦСР 23-24" sheetId="49" state="hidden" r:id="rId11"/>
    <sheet name="ФФП" sheetId="6" r:id="rId12"/>
    <sheet name="адм к" sheetId="35" r:id="rId13"/>
    <sheet name="ВУС" sheetId="12" r:id="rId14"/>
    <sheet name="Молод" sheetId="18" r:id="rId15"/>
    <sheet name="дороги с" sheetId="58" r:id="rId16"/>
    <sheet name="сбал" sheetId="53" r:id="rId17"/>
    <sheet name="пожарка" sheetId="62" r:id="rId18"/>
    <sheet name="пов зп 10" sheetId="72" r:id="rId19"/>
    <sheet name="ак" sheetId="52" r:id="rId20"/>
    <sheet name="дороги кр" sheetId="60" state="hidden" r:id="rId21"/>
    <sheet name="горср 10" sheetId="73" state="hidden" r:id="rId22"/>
    <sheet name="налог п" sheetId="67" r:id="rId23"/>
    <sheet name="ППМИ" sheetId="74" r:id="rId24"/>
    <sheet name="рег вып" sheetId="64" r:id="rId25"/>
    <sheet name="гор ср" sheetId="63" state="hidden" r:id="rId26"/>
    <sheet name="уч УДС" sheetId="70" state="hidden" r:id="rId27"/>
    <sheet name="благ" sheetId="68" state="hidden" r:id="rId28"/>
    <sheet name="благ м" sheetId="66" state="hidden" r:id="rId29"/>
    <sheet name="переселен" sheetId="69" state="hidden" r:id="rId30"/>
    <sheet name="БДД" sheetId="65" state="hidden" r:id="rId31"/>
    <sheet name="переч субс" sheetId="59" state="hidden" r:id="rId32"/>
    <sheet name="публ" sheetId="26" r:id="rId33"/>
    <sheet name="Полн" sheetId="24" r:id="rId34"/>
    <sheet name="софин" sheetId="61" r:id="rId35"/>
    <sheet name="Заим" sheetId="20" r:id="rId36"/>
    <sheet name="спр" sheetId="21" r:id="rId37"/>
    <sheet name="Лист1" sheetId="54" state="hidden" r:id="rId38"/>
  </sheets>
  <externalReferences>
    <externalReference r:id="rId39"/>
    <externalReference r:id="rId40"/>
  </externalReferences>
  <definedNames>
    <definedName name="_xlnm._FilterDatabase" localSheetId="1" hidden="1">АдмДох!$A$4:$I$272</definedName>
    <definedName name="_xlnm._FilterDatabase" localSheetId="6" hidden="1">'вед 23-24'!$A$6:$I$1307</definedName>
    <definedName name="_xlnm._FilterDatabase" localSheetId="5" hidden="1">Вед22!$A$6:$J$1860</definedName>
    <definedName name="_xlnm._FilterDatabase" localSheetId="4" hidden="1">'Дох '!$A$6:$M$305</definedName>
    <definedName name="_xlnm._FilterDatabase" localSheetId="37" hidden="1">Лист1!$A$1:$B$211</definedName>
    <definedName name="_xlnm._FilterDatabase" localSheetId="34" hidden="1">софин!$A$5:$F$19</definedName>
    <definedName name="_xlnm._FilterDatabase" localSheetId="36" hidden="1">спр!$A$8:$B$46</definedName>
    <definedName name="_xlnm._FilterDatabase" localSheetId="8" hidden="1">'Фун 23-24'!$A$6:$E$51</definedName>
    <definedName name="_xlnm._FilterDatabase" localSheetId="7" hidden="1">Фун22!$A$5:$D$53</definedName>
    <definedName name="_xlnm._FilterDatabase" localSheetId="9" hidden="1">'ЦСР 22'!$A$5:$E$1810</definedName>
    <definedName name="_xlnm._FilterDatabase" localSheetId="10" hidden="1">'ЦСР 23-24'!$A$6:$F$1150</definedName>
    <definedName name="H1благ">спр!$B$43</definedName>
    <definedName name="H1благмалое">спр!$B$41</definedName>
    <definedName name="H1гор_среда_10">спр!$B$47</definedName>
    <definedName name="H1ДК">спр!$B$39</definedName>
    <definedName name="H1дороги_50">спр!$B$48</definedName>
    <definedName name="H1зппов">спр!$B$44</definedName>
    <definedName name="H1пожар">спр!$B$36</definedName>
    <definedName name="H1потенциал">спр!$B$42</definedName>
    <definedName name="H1УДС">спр!$C$45</definedName>
    <definedName name="H2благ">спр!$C$43</definedName>
    <definedName name="H2благмалое">спр!$C$41</definedName>
    <definedName name="H2гор_среда_10">спр!$C$47</definedName>
    <definedName name="H2ДК">спр!$C$39</definedName>
    <definedName name="H2дороги_50">спр!$C$48</definedName>
    <definedName name="H2зппов">спр!$C$44</definedName>
    <definedName name="H2пожар">спр!$C$36</definedName>
    <definedName name="H2потенциал">спр!$C$42</definedName>
    <definedName name="H2УДС">спр!$B$45</definedName>
    <definedName name="h3гор">[1]спр!$C$38</definedName>
    <definedName name="вцп13">#REF!</definedName>
    <definedName name="вцпПлПер">#REF!</definedName>
    <definedName name="год" localSheetId="1">спр!$B$1</definedName>
    <definedName name="год">спр!$B$1</definedName>
    <definedName name="е213">[1]спр!$B$4</definedName>
    <definedName name="_xlnm.Print_Titles" localSheetId="12">'адм к'!$4:$4</definedName>
    <definedName name="_xlnm.Print_Titles" localSheetId="1">АдмДох!$4:$4</definedName>
    <definedName name="_xlnm.Print_Titles" localSheetId="2">АдмИст!$6:$6</definedName>
    <definedName name="_xlnm.Print_Titles" localSheetId="6">'вед 23-24'!$5:$6</definedName>
    <definedName name="_xlnm.Print_Titles" localSheetId="5">Вед22!$4:$5</definedName>
    <definedName name="_xlnm.Print_Titles" localSheetId="13">ВУС!$4:$4</definedName>
    <definedName name="_xlnm.Print_Titles" localSheetId="0">Деф!$4:$4</definedName>
    <definedName name="_xlnm.Print_Titles" localSheetId="4">'Дох '!$7:$7</definedName>
    <definedName name="_xlnm.Print_Titles" localSheetId="14">Молод!$4:$4</definedName>
    <definedName name="_xlnm.Print_Titles" localSheetId="33">Полн!$4:$5</definedName>
    <definedName name="_xlnm.Print_Titles" localSheetId="34">софин!$4:$4</definedName>
    <definedName name="_xlnm.Print_Titles" localSheetId="7">Фун22!$4:$5</definedName>
    <definedName name="_xlnm.Print_Titles" localSheetId="11">ФФП!$5:$5</definedName>
    <definedName name="_xlnm.Print_Titles" localSheetId="9">'ЦСР 22'!$4:$5</definedName>
    <definedName name="кбк">#REF!</definedName>
    <definedName name="квр13" localSheetId="1">Вед22!$E$7:$E$573</definedName>
    <definedName name="квр13">Вед22!$E$7:$E$3387</definedName>
    <definedName name="кврПлПер" localSheetId="1">'вед 23-24'!$E$8:$E$361</definedName>
    <definedName name="кврПлПер">'вед 23-24'!$E$8:$E$361</definedName>
    <definedName name="Н1адох" localSheetId="1">спр!$B$11</definedName>
    <definedName name="Н1адох">спр!$B$11</definedName>
    <definedName name="Н1аист" localSheetId="1">спр!$B$12</definedName>
    <definedName name="Н1аист">спр!$B$12</definedName>
    <definedName name="Н1акк">спр!$B$31</definedName>
    <definedName name="Н1Бл">#REF!</definedName>
    <definedName name="Н1вед" localSheetId="1">спр!$B$15</definedName>
    <definedName name="Н1вед">спр!$B$15</definedName>
    <definedName name="Н1вед1" localSheetId="1">спр!$B$16</definedName>
    <definedName name="Н1вед1">спр!$B$16</definedName>
    <definedName name="Н1вод">спр!$B$36</definedName>
    <definedName name="Н1вус" localSheetId="1">спр!$B$28</definedName>
    <definedName name="Н1вус">спр!$B$28</definedName>
    <definedName name="Н1вцп" localSheetId="1">спр!#REF!</definedName>
    <definedName name="Н1вцп">спр!#REF!</definedName>
    <definedName name="Н1гор_среда">спр!$B$38</definedName>
    <definedName name="Н1гранты">спр!$B$36</definedName>
    <definedName name="Н1деф" localSheetId="1">спр!$B$10</definedName>
    <definedName name="Н1деф">спр!$B$10</definedName>
    <definedName name="Н1Дор" localSheetId="1">#REF!</definedName>
    <definedName name="Н1Дор">спр!$B$32</definedName>
    <definedName name="Н1доркап">спр!$B$34</definedName>
    <definedName name="Н1Дороги">спр!$B$33</definedName>
    <definedName name="Н1дох" localSheetId="1">спр!$B$14</definedName>
    <definedName name="Н1дох">спр!$B$14</definedName>
    <definedName name="Н1займ" localSheetId="1">спр!#REF!</definedName>
    <definedName name="Н1займ">спр!$B$30</definedName>
    <definedName name="Н1инв" localSheetId="1">#REF!</definedName>
    <definedName name="Н1инв">спр!#REF!</definedName>
    <definedName name="Н1ком" localSheetId="1">спр!#REF!</definedName>
    <definedName name="Н1ком">спр!$B$26</definedName>
    <definedName name="Н1Мдор">#REF!</definedName>
    <definedName name="Н1метвус" localSheetId="1">#REF!</definedName>
    <definedName name="Н1метвус">спр!$B$29</definedName>
    <definedName name="Н1мин">спр!$B$35</definedName>
    <definedName name="Н1мол" localSheetId="1">спр!#REF!</definedName>
    <definedName name="Н1мол">спр!$B$25</definedName>
    <definedName name="Н1нал">#REF!</definedName>
    <definedName name="Н1Норм">спр!$B$13</definedName>
    <definedName name="Н1Перес">спр!$B$32</definedName>
    <definedName name="Н1Пересел">спр!$B$32</definedName>
    <definedName name="Н1пож" localSheetId="1">#REF!</definedName>
    <definedName name="Н1пож">спр!$B$33</definedName>
    <definedName name="Н1пожар">спр!$B$36</definedName>
    <definedName name="Н1пол" localSheetId="1">спр!#REF!</definedName>
    <definedName name="Н1пол">спр!$B$22</definedName>
    <definedName name="Н1поощ">спр!$B$34</definedName>
    <definedName name="Н1Пот" localSheetId="1">спр!#REF!</definedName>
    <definedName name="Н1Пот">спр!#REF!</definedName>
    <definedName name="Н1Публ" localSheetId="1">спр!$B$21</definedName>
    <definedName name="Н1Публ">спр!$B$21</definedName>
    <definedName name="Н1рег_вып">спр!$B$40</definedName>
    <definedName name="Н1рцп" localSheetId="1">#REF!</definedName>
    <definedName name="Н1рцп">спр!#REF!</definedName>
    <definedName name="Н1сбал" localSheetId="1">спр!#REF!</definedName>
    <definedName name="Н1сбал">спр!$B$23</definedName>
    <definedName name="Н1софин">спр!$B$35</definedName>
    <definedName name="Н1фун" localSheetId="1">спр!#REF!</definedName>
    <definedName name="Н1фун">спр!$B$17</definedName>
    <definedName name="Н1фун1">спр!$B$18</definedName>
    <definedName name="Н1ффп" localSheetId="1">спр!$B$24</definedName>
    <definedName name="Н1ффп">спр!$B$24</definedName>
    <definedName name="Н1цср">спр!$B$19</definedName>
    <definedName name="Н1цср1">спр!$B$20</definedName>
    <definedName name="Н1эф">#REF!</definedName>
    <definedName name="Н2адох">спр!$C$11</definedName>
    <definedName name="Н2аист">спр!$C$12</definedName>
    <definedName name="Н2акк">спр!$C$31</definedName>
    <definedName name="Н2Бл">#REF!</definedName>
    <definedName name="Н2вед">спр!$C$15</definedName>
    <definedName name="Н2вед1">спр!$C$16</definedName>
    <definedName name="Н2вод">спр!$C$36</definedName>
    <definedName name="Н2вус">спр!$C$28</definedName>
    <definedName name="Н2вцп">#REF!</definedName>
    <definedName name="Н2гор_среда">спр!$C$38</definedName>
    <definedName name="Н2гранты">спр!$C$36</definedName>
    <definedName name="Н2деф">спр!$C$10</definedName>
    <definedName name="Н2дор">спр!$C$32</definedName>
    <definedName name="Н2доркап">спр!$C$34</definedName>
    <definedName name="Н2Дороги">спр!$C$33</definedName>
    <definedName name="Н2дох">спр!$C$14</definedName>
    <definedName name="Н2займ">спр!$C$30</definedName>
    <definedName name="Н2инв">#REF!</definedName>
    <definedName name="Н2ком">спр!$C$26</definedName>
    <definedName name="Н2Мдор">#REF!</definedName>
    <definedName name="Н2метвус">спр!$C$29</definedName>
    <definedName name="Н2мин">спр!$C$35</definedName>
    <definedName name="Н2мол">спр!$C$25</definedName>
    <definedName name="Н2нал">#REF!</definedName>
    <definedName name="Н2Норм">спр!$C$13</definedName>
    <definedName name="Н2Перес">спр!$C$32</definedName>
    <definedName name="Н2Пересел">спр!$C$32</definedName>
    <definedName name="Н2пож">спр!$C$33</definedName>
    <definedName name="Н2пожар">спр!$C$35</definedName>
    <definedName name="Н2пол">спр!$C$22</definedName>
    <definedName name="Н2поощ">спр!$C$34</definedName>
    <definedName name="Н2публ">спр!$C$21</definedName>
    <definedName name="Н2рег_вып">спр!$C$40</definedName>
    <definedName name="Н2рцп">#REF!</definedName>
    <definedName name="Н2сбал">спр!$C$23</definedName>
    <definedName name="Н2софин">спр!$C$35</definedName>
    <definedName name="Н2фун">спр!$C$17</definedName>
    <definedName name="Н2фун1">спр!$C$18</definedName>
    <definedName name="Н2ффп">спр!$C$24</definedName>
    <definedName name="Н2цср">спр!$C$19</definedName>
    <definedName name="Н2цср1">спр!$C$20</definedName>
    <definedName name="Н2эф">#REF!</definedName>
    <definedName name="Надох" localSheetId="1">#REF!</definedName>
    <definedName name="Надох">спр!$B$11</definedName>
    <definedName name="_xlnm.Print_Area" localSheetId="12">'адм к'!$A:$E</definedName>
    <definedName name="_xlnm.Print_Area" localSheetId="1">АдмДох!$A:$D</definedName>
    <definedName name="_xlnm.Print_Area" localSheetId="2">АдмИст!$A:$D</definedName>
    <definedName name="_xlnm.Print_Area" localSheetId="19">ак!$A$1:$D$11</definedName>
    <definedName name="_xlnm.Print_Area" localSheetId="6">'вед 23-24'!$A:$G</definedName>
    <definedName name="_xlnm.Print_Area" localSheetId="5">Вед22!$A$1:$H$1860</definedName>
    <definedName name="_xlnm.Print_Area" localSheetId="13">ВУС!$A$1:$D$22</definedName>
    <definedName name="_xlnm.Print_Area" localSheetId="25">'гор ср'!$A$1:$B$9</definedName>
    <definedName name="_xlnm.Print_Area" localSheetId="21">'горср 10'!$A$1:$B$7</definedName>
    <definedName name="_xlnm.Print_Area" localSheetId="0">Деф!$A:$E</definedName>
    <definedName name="_xlnm.Print_Area" localSheetId="15">'дороги с'!$A$1:$G$24</definedName>
    <definedName name="_xlnm.Print_Area" localSheetId="35">Заим!$A:$D</definedName>
    <definedName name="_xlnm.Print_Area" localSheetId="14">Молод!$A:$D</definedName>
    <definedName name="_xlnm.Print_Area" localSheetId="17">пожарка!$A$1:$D$24</definedName>
    <definedName name="_xlnm.Print_Area" localSheetId="33">Полн!$A:$F</definedName>
    <definedName name="_xlnm.Print_Area" localSheetId="32">публ!$A:$F</definedName>
    <definedName name="_xlnm.Print_Area" localSheetId="16">сбал!$A$1:$D$23</definedName>
    <definedName name="_xlnm.Print_Area" localSheetId="11">ФФП!$A:$D</definedName>
    <definedName name="ПлПер" localSheetId="1">спр!$B$2</definedName>
    <definedName name="ПлПер">спр!$B$2</definedName>
    <definedName name="Р1дата" localSheetId="1">спр!$B$3</definedName>
    <definedName name="Р1дата">спр!$B$3</definedName>
    <definedName name="Р1номер" localSheetId="1">спр!$B$4</definedName>
    <definedName name="Р1номер">спр!$B$4</definedName>
    <definedName name="Р2дата">спр!$B$5</definedName>
    <definedName name="Р2номер">спр!$B$6</definedName>
    <definedName name="РзПз" localSheetId="1">Вед22!$I$7:$I$8295</definedName>
    <definedName name="РзПз">Вед22!$I$7:$I$8498</definedName>
    <definedName name="РзПз1">[2]Вед22!$G$8:$G$8518</definedName>
    <definedName name="РзПзПлПер" localSheetId="1">'вед 23-24'!$H$8:$H$459</definedName>
    <definedName name="РзПзПлПер">'вед 23-24'!$H$8:$H$4630</definedName>
    <definedName name="спрВЦП">#REF!</definedName>
    <definedName name="сум" localSheetId="1">#REF!</definedName>
    <definedName name="сум">#REF!</definedName>
    <definedName name="СумВед" localSheetId="1">Вед22!$F$7:$F$3775</definedName>
    <definedName name="СумВед">Вед22!$F$7:$F$4987</definedName>
    <definedName name="СумВед14" localSheetId="1">'вед 23-24'!$F$8:$F$361</definedName>
    <definedName name="СумВед14">'вед 23-24'!$F$8:$F$361</definedName>
    <definedName name="СумВед15" localSheetId="1">'вед 23-24'!$G$8:$G$361</definedName>
    <definedName name="СумВед15">'вед 23-24'!$G$8:$G$361</definedName>
    <definedName name="СумВед22">'[2]вед 23-24'!$F$8:$F$3610</definedName>
    <definedName name="сумма13">#REF!</definedName>
    <definedName name="цср">Лист1!$A$2:$B$211</definedName>
    <definedName name="цср1">Лист1!$A$2:$B$2840</definedName>
  </definedNames>
  <calcPr calcId="125725"/>
</workbook>
</file>

<file path=xl/calcChain.xml><?xml version="1.0" encoding="utf-8"?>
<calcChain xmlns="http://schemas.openxmlformats.org/spreadsheetml/2006/main">
  <c r="H1057" i="4"/>
  <c r="H1296"/>
  <c r="H1299"/>
  <c r="H1772"/>
  <c r="H1778"/>
  <c r="H1785"/>
  <c r="H1792"/>
  <c r="H1799"/>
  <c r="H1802"/>
  <c r="H1809"/>
  <c r="H1816"/>
  <c r="H1823"/>
  <c r="H1830"/>
  <c r="H1848"/>
  <c r="H1851"/>
  <c r="A2" i="24"/>
  <c r="A1" i="74"/>
  <c r="D6" i="64"/>
  <c r="D7"/>
  <c r="D8"/>
  <c r="D9"/>
  <c r="D10"/>
  <c r="D11"/>
  <c r="D12"/>
  <c r="D13"/>
  <c r="D14"/>
  <c r="D15"/>
  <c r="D16"/>
  <c r="D17"/>
  <c r="D18"/>
  <c r="D19"/>
  <c r="D20"/>
  <c r="D21"/>
  <c r="D22"/>
  <c r="D5"/>
  <c r="C5"/>
  <c r="D6" i="74"/>
  <c r="D7"/>
  <c r="D8"/>
  <c r="D9"/>
  <c r="D10"/>
  <c r="D5"/>
  <c r="C5"/>
  <c r="D5" i="67"/>
  <c r="D7"/>
  <c r="D8"/>
  <c r="D9"/>
  <c r="D10"/>
  <c r="D11"/>
  <c r="D12"/>
  <c r="D13"/>
  <c r="D14"/>
  <c r="D15"/>
  <c r="D16"/>
  <c r="D6"/>
  <c r="D6" i="52"/>
  <c r="D8"/>
  <c r="D9"/>
  <c r="D10"/>
  <c r="D11"/>
  <c r="D7"/>
  <c r="D5" i="72"/>
  <c r="D7"/>
  <c r="D8"/>
  <c r="D9"/>
  <c r="D10"/>
  <c r="D11"/>
  <c r="D12"/>
  <c r="D13"/>
  <c r="D14"/>
  <c r="D15"/>
  <c r="D16"/>
  <c r="D17"/>
  <c r="D18"/>
  <c r="D19"/>
  <c r="D20"/>
  <c r="D21"/>
  <c r="D22"/>
  <c r="D23"/>
  <c r="D6"/>
  <c r="C5"/>
  <c r="C23"/>
  <c r="C22"/>
  <c r="C21"/>
  <c r="C20"/>
  <c r="C19"/>
  <c r="C18"/>
  <c r="C17"/>
  <c r="C16"/>
  <c r="C15"/>
  <c r="C14"/>
  <c r="C13"/>
  <c r="C12"/>
  <c r="C11"/>
  <c r="C10"/>
  <c r="C9"/>
  <c r="C8"/>
  <c r="C7"/>
  <c r="C6"/>
  <c r="D6" i="62"/>
  <c r="D8"/>
  <c r="D9"/>
  <c r="D10"/>
  <c r="D11"/>
  <c r="D12"/>
  <c r="D13"/>
  <c r="D14"/>
  <c r="D15"/>
  <c r="D16"/>
  <c r="D17"/>
  <c r="D18"/>
  <c r="D19"/>
  <c r="D20"/>
  <c r="D21"/>
  <c r="D22"/>
  <c r="D23"/>
  <c r="D24"/>
  <c r="D7"/>
  <c r="D6" i="20"/>
  <c r="D9"/>
  <c r="A2"/>
  <c r="F6" i="61"/>
  <c r="F7"/>
  <c r="F8"/>
  <c r="F9"/>
  <c r="F10"/>
  <c r="F11"/>
  <c r="F12"/>
  <c r="F13"/>
  <c r="F14"/>
  <c r="F15"/>
  <c r="F16"/>
  <c r="F17"/>
  <c r="F18"/>
  <c r="F19"/>
  <c r="F20"/>
  <c r="F21"/>
  <c r="F22"/>
  <c r="F23"/>
  <c r="F24"/>
  <c r="F25"/>
  <c r="F26"/>
  <c r="F27"/>
  <c r="F28"/>
  <c r="F29"/>
  <c r="F30"/>
  <c r="F31"/>
  <c r="F32"/>
  <c r="F33"/>
  <c r="F34"/>
  <c r="F35"/>
  <c r="F36"/>
  <c r="F5"/>
  <c r="B2"/>
  <c r="D5" i="53"/>
  <c r="D7"/>
  <c r="D8"/>
  <c r="D9"/>
  <c r="D10"/>
  <c r="D11"/>
  <c r="D12"/>
  <c r="D13"/>
  <c r="D14"/>
  <c r="D15"/>
  <c r="D16"/>
  <c r="D17"/>
  <c r="D18"/>
  <c r="D19"/>
  <c r="D20"/>
  <c r="D21"/>
  <c r="D22"/>
  <c r="D23"/>
  <c r="D6"/>
  <c r="A2"/>
  <c r="G6" i="58"/>
  <c r="G8"/>
  <c r="G9"/>
  <c r="G10"/>
  <c r="G11"/>
  <c r="G12"/>
  <c r="G13"/>
  <c r="G14"/>
  <c r="G15"/>
  <c r="G16"/>
  <c r="G17"/>
  <c r="G18"/>
  <c r="G19"/>
  <c r="G20"/>
  <c r="G21"/>
  <c r="G22"/>
  <c r="G23"/>
  <c r="G24"/>
  <c r="G7"/>
  <c r="E6"/>
  <c r="F6"/>
  <c r="F8"/>
  <c r="F9"/>
  <c r="F10"/>
  <c r="F11"/>
  <c r="F12"/>
  <c r="F13"/>
  <c r="F14"/>
  <c r="F15"/>
  <c r="F16"/>
  <c r="F17"/>
  <c r="F18"/>
  <c r="F19"/>
  <c r="F20"/>
  <c r="F21"/>
  <c r="F22"/>
  <c r="F23"/>
  <c r="F24"/>
  <c r="F7"/>
  <c r="D5" i="18"/>
  <c r="D7"/>
  <c r="D8"/>
  <c r="D9"/>
  <c r="D10"/>
  <c r="D11"/>
  <c r="D12"/>
  <c r="D13"/>
  <c r="D14"/>
  <c r="D15"/>
  <c r="D16"/>
  <c r="D17"/>
  <c r="D18"/>
  <c r="D19"/>
  <c r="D20"/>
  <c r="D21"/>
  <c r="D22"/>
  <c r="D6"/>
  <c r="D5" i="12"/>
  <c r="D7"/>
  <c r="D8"/>
  <c r="D9"/>
  <c r="D10"/>
  <c r="D11"/>
  <c r="D12"/>
  <c r="D13"/>
  <c r="D14"/>
  <c r="D15"/>
  <c r="D16"/>
  <c r="D17"/>
  <c r="D18"/>
  <c r="D19"/>
  <c r="D20"/>
  <c r="D21"/>
  <c r="D22"/>
  <c r="D6"/>
  <c r="E5" i="35"/>
  <c r="E7"/>
  <c r="E8"/>
  <c r="E9"/>
  <c r="E10"/>
  <c r="E11"/>
  <c r="E12"/>
  <c r="E13"/>
  <c r="E14"/>
  <c r="E15"/>
  <c r="E16"/>
  <c r="E17"/>
  <c r="E18"/>
  <c r="E19"/>
  <c r="E20"/>
  <c r="E21"/>
  <c r="E22"/>
  <c r="E23"/>
  <c r="E6"/>
  <c r="D23"/>
  <c r="D22"/>
  <c r="D21"/>
  <c r="D20"/>
  <c r="D19"/>
  <c r="D18"/>
  <c r="D17"/>
  <c r="D16"/>
  <c r="D15"/>
  <c r="D13"/>
  <c r="D12"/>
  <c r="D11"/>
  <c r="D10"/>
  <c r="D9"/>
  <c r="D6"/>
  <c r="B45" i="6"/>
  <c r="C45"/>
  <c r="D45"/>
  <c r="B46"/>
  <c r="C46"/>
  <c r="D46"/>
  <c r="B47"/>
  <c r="C47"/>
  <c r="D47"/>
  <c r="B48"/>
  <c r="C48"/>
  <c r="B49"/>
  <c r="C49"/>
  <c r="D49"/>
  <c r="B50"/>
  <c r="C50"/>
  <c r="D50"/>
  <c r="B51"/>
  <c r="C51"/>
  <c r="D51"/>
  <c r="B52"/>
  <c r="C52"/>
  <c r="D52"/>
  <c r="B53"/>
  <c r="C53"/>
  <c r="D53"/>
  <c r="B54"/>
  <c r="C54"/>
  <c r="D54"/>
  <c r="B55"/>
  <c r="C55"/>
  <c r="D55"/>
  <c r="B56"/>
  <c r="C56"/>
  <c r="D56"/>
  <c r="B57"/>
  <c r="C57"/>
  <c r="D57"/>
  <c r="B58"/>
  <c r="C58"/>
  <c r="B59"/>
  <c r="C59"/>
  <c r="D59"/>
  <c r="B60"/>
  <c r="C60"/>
  <c r="D60"/>
  <c r="B61"/>
  <c r="C61"/>
  <c r="D61"/>
  <c r="B62"/>
  <c r="C62"/>
  <c r="D62"/>
  <c r="B44"/>
  <c r="D44"/>
  <c r="C44"/>
  <c r="A2"/>
  <c r="B45" i="24" l="1"/>
  <c r="B46"/>
  <c r="B47"/>
  <c r="B48"/>
  <c r="B49"/>
  <c r="B50"/>
  <c r="B51"/>
  <c r="B52"/>
  <c r="B53"/>
  <c r="B54"/>
  <c r="B55"/>
  <c r="B56"/>
  <c r="B57"/>
  <c r="B58"/>
  <c r="B59"/>
  <c r="B60"/>
  <c r="B61"/>
  <c r="B62"/>
  <c r="B44"/>
  <c r="E45"/>
  <c r="E46"/>
  <c r="E47"/>
  <c r="E48"/>
  <c r="F48"/>
  <c r="F44"/>
  <c r="E49"/>
  <c r="E50"/>
  <c r="E51"/>
  <c r="E52"/>
  <c r="E53"/>
  <c r="E54"/>
  <c r="E55"/>
  <c r="E56"/>
  <c r="E57"/>
  <c r="E58"/>
  <c r="E59"/>
  <c r="E60"/>
  <c r="E61"/>
  <c r="E62"/>
  <c r="E44"/>
  <c r="D47"/>
  <c r="D44"/>
  <c r="C45"/>
  <c r="C46"/>
  <c r="C47"/>
  <c r="C48"/>
  <c r="C49"/>
  <c r="C50"/>
  <c r="C51"/>
  <c r="C52"/>
  <c r="C53"/>
  <c r="C54"/>
  <c r="C55"/>
  <c r="C56"/>
  <c r="C57"/>
  <c r="C58"/>
  <c r="C59"/>
  <c r="C60"/>
  <c r="C61"/>
  <c r="C62"/>
  <c r="C28"/>
  <c r="C26"/>
  <c r="F29"/>
  <c r="E43"/>
  <c r="E42"/>
  <c r="E41"/>
  <c r="E40"/>
  <c r="E39"/>
  <c r="E38"/>
  <c r="E37"/>
  <c r="E36"/>
  <c r="E35"/>
  <c r="E34"/>
  <c r="E33"/>
  <c r="E32"/>
  <c r="E31"/>
  <c r="E30"/>
  <c r="E29"/>
  <c r="E28"/>
  <c r="E27"/>
  <c r="E26"/>
  <c r="D28"/>
  <c r="F6" i="26" l="1"/>
  <c r="F7"/>
  <c r="F8"/>
  <c r="F9"/>
  <c r="F5"/>
  <c r="A2"/>
  <c r="G7" i="50"/>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1"/>
  <c r="G292"/>
  <c r="G293"/>
  <c r="G294"/>
  <c r="G295"/>
  <c r="G296"/>
  <c r="G297"/>
  <c r="G298"/>
  <c r="G299"/>
  <c r="G300"/>
  <c r="G301"/>
  <c r="G302"/>
  <c r="G303"/>
  <c r="G304"/>
  <c r="G305"/>
  <c r="G306"/>
  <c r="G307"/>
  <c r="G308"/>
  <c r="G309"/>
  <c r="G310"/>
  <c r="G311"/>
  <c r="G312"/>
  <c r="G313"/>
  <c r="G314"/>
  <c r="G315"/>
  <c r="G316"/>
  <c r="G317"/>
  <c r="G318"/>
  <c r="G319"/>
  <c r="G320"/>
  <c r="G321"/>
  <c r="G322"/>
  <c r="G323"/>
  <c r="G324"/>
  <c r="G325"/>
  <c r="G326"/>
  <c r="G327"/>
  <c r="G328"/>
  <c r="G329"/>
  <c r="G330"/>
  <c r="G331"/>
  <c r="G332"/>
  <c r="G333"/>
  <c r="G334"/>
  <c r="G335"/>
  <c r="G336"/>
  <c r="G337"/>
  <c r="G338"/>
  <c r="G339"/>
  <c r="G340"/>
  <c r="G341"/>
  <c r="G342"/>
  <c r="G343"/>
  <c r="G344"/>
  <c r="G345"/>
  <c r="G346"/>
  <c r="G347"/>
  <c r="G348"/>
  <c r="G349"/>
  <c r="G350"/>
  <c r="G351"/>
  <c r="G352"/>
  <c r="G353"/>
  <c r="G354"/>
  <c r="G355"/>
  <c r="G356"/>
  <c r="G357"/>
  <c r="G358"/>
  <c r="G359"/>
  <c r="G360"/>
  <c r="G361"/>
  <c r="G362"/>
  <c r="G363"/>
  <c r="G364"/>
  <c r="G365"/>
  <c r="G366"/>
  <c r="G367"/>
  <c r="G368"/>
  <c r="G369"/>
  <c r="G370"/>
  <c r="G371"/>
  <c r="G372"/>
  <c r="G373"/>
  <c r="G374"/>
  <c r="G375"/>
  <c r="G376"/>
  <c r="G377"/>
  <c r="G378"/>
  <c r="G379"/>
  <c r="G380"/>
  <c r="G381"/>
  <c r="G382"/>
  <c r="G383"/>
  <c r="G384"/>
  <c r="G385"/>
  <c r="G386"/>
  <c r="G387"/>
  <c r="G388"/>
  <c r="G389"/>
  <c r="G390"/>
  <c r="G391"/>
  <c r="G392"/>
  <c r="G393"/>
  <c r="G394"/>
  <c r="G395"/>
  <c r="G396"/>
  <c r="G397"/>
  <c r="G398"/>
  <c r="G399"/>
  <c r="G400"/>
  <c r="G401"/>
  <c r="G402"/>
  <c r="G403"/>
  <c r="G404"/>
  <c r="G405"/>
  <c r="G406"/>
  <c r="G407"/>
  <c r="G408"/>
  <c r="G409"/>
  <c r="G410"/>
  <c r="G411"/>
  <c r="G412"/>
  <c r="G413"/>
  <c r="G414"/>
  <c r="G415"/>
  <c r="G416"/>
  <c r="G417"/>
  <c r="G418"/>
  <c r="G419"/>
  <c r="G420"/>
  <c r="G421"/>
  <c r="G422"/>
  <c r="G423"/>
  <c r="G424"/>
  <c r="G425"/>
  <c r="G426"/>
  <c r="G427"/>
  <c r="G428"/>
  <c r="G429"/>
  <c r="G430"/>
  <c r="G431"/>
  <c r="G432"/>
  <c r="G433"/>
  <c r="G434"/>
  <c r="G435"/>
  <c r="G436"/>
  <c r="G437"/>
  <c r="G438"/>
  <c r="G439"/>
  <c r="G440"/>
  <c r="G441"/>
  <c r="G442"/>
  <c r="G443"/>
  <c r="G444"/>
  <c r="G445"/>
  <c r="G446"/>
  <c r="G447"/>
  <c r="G448"/>
  <c r="G449"/>
  <c r="G450"/>
  <c r="G451"/>
  <c r="G452"/>
  <c r="G453"/>
  <c r="G454"/>
  <c r="G455"/>
  <c r="G456"/>
  <c r="G457"/>
  <c r="G458"/>
  <c r="G459"/>
  <c r="G460"/>
  <c r="G461"/>
  <c r="G462"/>
  <c r="G463"/>
  <c r="G464"/>
  <c r="G465"/>
  <c r="G466"/>
  <c r="G467"/>
  <c r="G468"/>
  <c r="G469"/>
  <c r="G470"/>
  <c r="G471"/>
  <c r="G472"/>
  <c r="G473"/>
  <c r="G474"/>
  <c r="G475"/>
  <c r="G476"/>
  <c r="G477"/>
  <c r="G478"/>
  <c r="G479"/>
  <c r="G480"/>
  <c r="G481"/>
  <c r="G482"/>
  <c r="G483"/>
  <c r="G484"/>
  <c r="G485"/>
  <c r="G486"/>
  <c r="G487"/>
  <c r="G488"/>
  <c r="G489"/>
  <c r="G490"/>
  <c r="G491"/>
  <c r="G492"/>
  <c r="G493"/>
  <c r="G494"/>
  <c r="G495"/>
  <c r="G496"/>
  <c r="G497"/>
  <c r="G498"/>
  <c r="G499"/>
  <c r="G500"/>
  <c r="G501"/>
  <c r="G502"/>
  <c r="G503"/>
  <c r="G504"/>
  <c r="G505"/>
  <c r="G506"/>
  <c r="G507"/>
  <c r="G508"/>
  <c r="G509"/>
  <c r="G510"/>
  <c r="G511"/>
  <c r="G512"/>
  <c r="G513"/>
  <c r="G514"/>
  <c r="G515"/>
  <c r="G516"/>
  <c r="G517"/>
  <c r="G518"/>
  <c r="G519"/>
  <c r="G520"/>
  <c r="G521"/>
  <c r="G522"/>
  <c r="G523"/>
  <c r="G524"/>
  <c r="G525"/>
  <c r="G526"/>
  <c r="G527"/>
  <c r="G528"/>
  <c r="G529"/>
  <c r="G530"/>
  <c r="G531"/>
  <c r="G532"/>
  <c r="G533"/>
  <c r="G534"/>
  <c r="G535"/>
  <c r="G536"/>
  <c r="G537"/>
  <c r="G538"/>
  <c r="G539"/>
  <c r="G540"/>
  <c r="G541"/>
  <c r="G542"/>
  <c r="G543"/>
  <c r="G544"/>
  <c r="G545"/>
  <c r="G546"/>
  <c r="G547"/>
  <c r="G548"/>
  <c r="G549"/>
  <c r="G550"/>
  <c r="G551"/>
  <c r="G552"/>
  <c r="G553"/>
  <c r="G554"/>
  <c r="G555"/>
  <c r="G556"/>
  <c r="G557"/>
  <c r="G558"/>
  <c r="G559"/>
  <c r="G560"/>
  <c r="G561"/>
  <c r="G562"/>
  <c r="G563"/>
  <c r="G564"/>
  <c r="G565"/>
  <c r="G566"/>
  <c r="G567"/>
  <c r="G568"/>
  <c r="G569"/>
  <c r="G570"/>
  <c r="G571"/>
  <c r="G572"/>
  <c r="G573"/>
  <c r="G574"/>
  <c r="G575"/>
  <c r="G576"/>
  <c r="G577"/>
  <c r="G578"/>
  <c r="G579"/>
  <c r="G580"/>
  <c r="G581"/>
  <c r="G582"/>
  <c r="G583"/>
  <c r="G584"/>
  <c r="G585"/>
  <c r="G586"/>
  <c r="G587"/>
  <c r="G588"/>
  <c r="G589"/>
  <c r="G590"/>
  <c r="G591"/>
  <c r="G592"/>
  <c r="G593"/>
  <c r="G594"/>
  <c r="G595"/>
  <c r="G596"/>
  <c r="G597"/>
  <c r="G598"/>
  <c r="G599"/>
  <c r="G600"/>
  <c r="G601"/>
  <c r="G602"/>
  <c r="G603"/>
  <c r="G604"/>
  <c r="G605"/>
  <c r="G606"/>
  <c r="G607"/>
  <c r="G608"/>
  <c r="G609"/>
  <c r="G610"/>
  <c r="G611"/>
  <c r="G612"/>
  <c r="G613"/>
  <c r="G614"/>
  <c r="G615"/>
  <c r="G616"/>
  <c r="G617"/>
  <c r="G618"/>
  <c r="G619"/>
  <c r="G620"/>
  <c r="G621"/>
  <c r="G622"/>
  <c r="G623"/>
  <c r="G624"/>
  <c r="G625"/>
  <c r="G626"/>
  <c r="G627"/>
  <c r="G628"/>
  <c r="G629"/>
  <c r="G630"/>
  <c r="G631"/>
  <c r="G632"/>
  <c r="G633"/>
  <c r="G634"/>
  <c r="G635"/>
  <c r="G636"/>
  <c r="G637"/>
  <c r="G638"/>
  <c r="G639"/>
  <c r="G640"/>
  <c r="G641"/>
  <c r="G642"/>
  <c r="G643"/>
  <c r="G644"/>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G682"/>
  <c r="G683"/>
  <c r="G684"/>
  <c r="G685"/>
  <c r="G686"/>
  <c r="G687"/>
  <c r="G688"/>
  <c r="G689"/>
  <c r="G690"/>
  <c r="G691"/>
  <c r="G692"/>
  <c r="G693"/>
  <c r="G694"/>
  <c r="G695"/>
  <c r="G696"/>
  <c r="G697"/>
  <c r="G698"/>
  <c r="G699"/>
  <c r="G700"/>
  <c r="G701"/>
  <c r="G702"/>
  <c r="G703"/>
  <c r="G704"/>
  <c r="G705"/>
  <c r="G706"/>
  <c r="G707"/>
  <c r="G708"/>
  <c r="G709"/>
  <c r="G710"/>
  <c r="G711"/>
  <c r="G712"/>
  <c r="G713"/>
  <c r="G714"/>
  <c r="G715"/>
  <c r="G716"/>
  <c r="G717"/>
  <c r="G718"/>
  <c r="G719"/>
  <c r="G720"/>
  <c r="G721"/>
  <c r="G722"/>
  <c r="G723"/>
  <c r="G724"/>
  <c r="G725"/>
  <c r="G726"/>
  <c r="G727"/>
  <c r="G728"/>
  <c r="G729"/>
  <c r="G730"/>
  <c r="G731"/>
  <c r="G732"/>
  <c r="G733"/>
  <c r="G734"/>
  <c r="G735"/>
  <c r="G736"/>
  <c r="G737"/>
  <c r="G738"/>
  <c r="G739"/>
  <c r="G740"/>
  <c r="G741"/>
  <c r="G742"/>
  <c r="G743"/>
  <c r="G744"/>
  <c r="G745"/>
  <c r="G746"/>
  <c r="G747"/>
  <c r="G748"/>
  <c r="G749"/>
  <c r="G750"/>
  <c r="G751"/>
  <c r="G752"/>
  <c r="G753"/>
  <c r="G754"/>
  <c r="G755"/>
  <c r="G756"/>
  <c r="G757"/>
  <c r="G758"/>
  <c r="G759"/>
  <c r="G760"/>
  <c r="G761"/>
  <c r="G762"/>
  <c r="G763"/>
  <c r="G764"/>
  <c r="G765"/>
  <c r="G766"/>
  <c r="G767"/>
  <c r="G768"/>
  <c r="G769"/>
  <c r="G770"/>
  <c r="G771"/>
  <c r="G772"/>
  <c r="G773"/>
  <c r="G774"/>
  <c r="G775"/>
  <c r="G776"/>
  <c r="G777"/>
  <c r="G778"/>
  <c r="G779"/>
  <c r="G780"/>
  <c r="G781"/>
  <c r="G782"/>
  <c r="G783"/>
  <c r="G784"/>
  <c r="G785"/>
  <c r="G786"/>
  <c r="G787"/>
  <c r="G788"/>
  <c r="G789"/>
  <c r="G790"/>
  <c r="G791"/>
  <c r="G792"/>
  <c r="G793"/>
  <c r="G794"/>
  <c r="G795"/>
  <c r="G796"/>
  <c r="G797"/>
  <c r="G798"/>
  <c r="G799"/>
  <c r="G800"/>
  <c r="G801"/>
  <c r="G802"/>
  <c r="G803"/>
  <c r="G804"/>
  <c r="G805"/>
  <c r="G806"/>
  <c r="G807"/>
  <c r="G808"/>
  <c r="G809"/>
  <c r="G810"/>
  <c r="G811"/>
  <c r="G812"/>
  <c r="G813"/>
  <c r="G814"/>
  <c r="G815"/>
  <c r="G816"/>
  <c r="G817"/>
  <c r="G818"/>
  <c r="G819"/>
  <c r="G820"/>
  <c r="G821"/>
  <c r="G822"/>
  <c r="G823"/>
  <c r="G824"/>
  <c r="G825"/>
  <c r="G826"/>
  <c r="G827"/>
  <c r="G828"/>
  <c r="G829"/>
  <c r="G830"/>
  <c r="G831"/>
  <c r="G832"/>
  <c r="G833"/>
  <c r="G834"/>
  <c r="G835"/>
  <c r="G836"/>
  <c r="G837"/>
  <c r="G838"/>
  <c r="G839"/>
  <c r="G840"/>
  <c r="G841"/>
  <c r="G842"/>
  <c r="G843"/>
  <c r="G844"/>
  <c r="G845"/>
  <c r="G846"/>
  <c r="G847"/>
  <c r="G848"/>
  <c r="G849"/>
  <c r="G850"/>
  <c r="G851"/>
  <c r="G852"/>
  <c r="G853"/>
  <c r="G854"/>
  <c r="G855"/>
  <c r="G856"/>
  <c r="G857"/>
  <c r="G858"/>
  <c r="G859"/>
  <c r="G860"/>
  <c r="G861"/>
  <c r="G862"/>
  <c r="G863"/>
  <c r="G864"/>
  <c r="G865"/>
  <c r="G866"/>
  <c r="G867"/>
  <c r="G868"/>
  <c r="G869"/>
  <c r="G870"/>
  <c r="G871"/>
  <c r="G872"/>
  <c r="G873"/>
  <c r="G874"/>
  <c r="G875"/>
  <c r="G876"/>
  <c r="G877"/>
  <c r="G878"/>
  <c r="G879"/>
  <c r="G880"/>
  <c r="G881"/>
  <c r="G882"/>
  <c r="G883"/>
  <c r="G884"/>
  <c r="G885"/>
  <c r="G886"/>
  <c r="G887"/>
  <c r="G888"/>
  <c r="G889"/>
  <c r="G890"/>
  <c r="G891"/>
  <c r="G892"/>
  <c r="G893"/>
  <c r="G894"/>
  <c r="G895"/>
  <c r="G896"/>
  <c r="G897"/>
  <c r="G898"/>
  <c r="G899"/>
  <c r="G900"/>
  <c r="G901"/>
  <c r="G902"/>
  <c r="G903"/>
  <c r="G904"/>
  <c r="G905"/>
  <c r="G906"/>
  <c r="G907"/>
  <c r="G908"/>
  <c r="G909"/>
  <c r="G910"/>
  <c r="G911"/>
  <c r="G912"/>
  <c r="G913"/>
  <c r="G914"/>
  <c r="G915"/>
  <c r="G916"/>
  <c r="G917"/>
  <c r="G918"/>
  <c r="G919"/>
  <c r="G920"/>
  <c r="G921"/>
  <c r="G922"/>
  <c r="G923"/>
  <c r="G924"/>
  <c r="G925"/>
  <c r="G926"/>
  <c r="G927"/>
  <c r="G928"/>
  <c r="G929"/>
  <c r="G930"/>
  <c r="G931"/>
  <c r="G932"/>
  <c r="G933"/>
  <c r="G934"/>
  <c r="G935"/>
  <c r="G936"/>
  <c r="G937"/>
  <c r="G938"/>
  <c r="G939"/>
  <c r="G940"/>
  <c r="G941"/>
  <c r="G942"/>
  <c r="G943"/>
  <c r="G944"/>
  <c r="G945"/>
  <c r="G946"/>
  <c r="G947"/>
  <c r="G948"/>
  <c r="G949"/>
  <c r="G950"/>
  <c r="G951"/>
  <c r="G952"/>
  <c r="G953"/>
  <c r="G954"/>
  <c r="G955"/>
  <c r="G956"/>
  <c r="G957"/>
  <c r="G958"/>
  <c r="G959"/>
  <c r="G960"/>
  <c r="G961"/>
  <c r="G962"/>
  <c r="G963"/>
  <c r="G964"/>
  <c r="G965"/>
  <c r="G966"/>
  <c r="G967"/>
  <c r="G968"/>
  <c r="G969"/>
  <c r="G970"/>
  <c r="G971"/>
  <c r="G972"/>
  <c r="G973"/>
  <c r="G974"/>
  <c r="G975"/>
  <c r="G976"/>
  <c r="G977"/>
  <c r="G978"/>
  <c r="G979"/>
  <c r="G980"/>
  <c r="G981"/>
  <c r="G982"/>
  <c r="G983"/>
  <c r="G984"/>
  <c r="G985"/>
  <c r="G986"/>
  <c r="G987"/>
  <c r="G988"/>
  <c r="G989"/>
  <c r="G990"/>
  <c r="G991"/>
  <c r="G992"/>
  <c r="G993"/>
  <c r="G994"/>
  <c r="G995"/>
  <c r="G996"/>
  <c r="G997"/>
  <c r="G998"/>
  <c r="G999"/>
  <c r="G1000"/>
  <c r="G1001"/>
  <c r="G1002"/>
  <c r="G1003"/>
  <c r="G1004"/>
  <c r="G1005"/>
  <c r="G1006"/>
  <c r="G1007"/>
  <c r="G1008"/>
  <c r="G1009"/>
  <c r="G1010"/>
  <c r="G1011"/>
  <c r="G1012"/>
  <c r="G1013"/>
  <c r="G1014"/>
  <c r="G1015"/>
  <c r="G1016"/>
  <c r="G1017"/>
  <c r="G1018"/>
  <c r="G1019"/>
  <c r="G1020"/>
  <c r="G1021"/>
  <c r="G1022"/>
  <c r="G1023"/>
  <c r="G1024"/>
  <c r="G1025"/>
  <c r="G1026"/>
  <c r="G1027"/>
  <c r="G1028"/>
  <c r="G1029"/>
  <c r="G1030"/>
  <c r="G1031"/>
  <c r="G1032"/>
  <c r="G1033"/>
  <c r="G1034"/>
  <c r="G1035"/>
  <c r="G1036"/>
  <c r="G1037"/>
  <c r="G1038"/>
  <c r="G1039"/>
  <c r="G1040"/>
  <c r="G1041"/>
  <c r="G1042"/>
  <c r="G1043"/>
  <c r="G1044"/>
  <c r="G1045"/>
  <c r="G1046"/>
  <c r="G1047"/>
  <c r="G1048"/>
  <c r="G1049"/>
  <c r="G1050"/>
  <c r="G1051"/>
  <c r="G1052"/>
  <c r="G1053"/>
  <c r="G1054"/>
  <c r="G1055"/>
  <c r="G1056"/>
  <c r="G1057"/>
  <c r="G1058"/>
  <c r="G1059"/>
  <c r="G1060"/>
  <c r="G1061"/>
  <c r="G1062"/>
  <c r="G1063"/>
  <c r="G1064"/>
  <c r="G1065"/>
  <c r="G1066"/>
  <c r="G1067"/>
  <c r="G1068"/>
  <c r="G1069"/>
  <c r="G1070"/>
  <c r="G1071"/>
  <c r="G1072"/>
  <c r="G1073"/>
  <c r="G1074"/>
  <c r="G1075"/>
  <c r="G1076"/>
  <c r="G1077"/>
  <c r="G1078"/>
  <c r="G1079"/>
  <c r="G1080"/>
  <c r="G1081"/>
  <c r="G1082"/>
  <c r="G1083"/>
  <c r="G1084"/>
  <c r="G1085"/>
  <c r="G1086"/>
  <c r="G1087"/>
  <c r="G1088"/>
  <c r="G1089"/>
  <c r="G1090"/>
  <c r="G1091"/>
  <c r="G1092"/>
  <c r="G1093"/>
  <c r="G1094"/>
  <c r="G1095"/>
  <c r="G1096"/>
  <c r="G1097"/>
  <c r="G1098"/>
  <c r="G1099"/>
  <c r="G1100"/>
  <c r="G1101"/>
  <c r="G1102"/>
  <c r="G1103"/>
  <c r="G1104"/>
  <c r="G1105"/>
  <c r="G1106"/>
  <c r="G1107"/>
  <c r="G1108"/>
  <c r="G1109"/>
  <c r="G1110"/>
  <c r="G1111"/>
  <c r="G1112"/>
  <c r="G1113"/>
  <c r="G1114"/>
  <c r="G1115"/>
  <c r="G1116"/>
  <c r="G1117"/>
  <c r="G1118"/>
  <c r="G1119"/>
  <c r="G1120"/>
  <c r="G1121"/>
  <c r="G1122"/>
  <c r="G1123"/>
  <c r="G1124"/>
  <c r="G1125"/>
  <c r="G1126"/>
  <c r="G1127"/>
  <c r="G1128"/>
  <c r="G1129"/>
  <c r="G1130"/>
  <c r="G1131"/>
  <c r="G1132"/>
  <c r="G1133"/>
  <c r="G1134"/>
  <c r="G1135"/>
  <c r="G1136"/>
  <c r="G1137"/>
  <c r="G1138"/>
  <c r="G1139"/>
  <c r="G1140"/>
  <c r="G1141"/>
  <c r="G1142"/>
  <c r="G1143"/>
  <c r="G1144"/>
  <c r="G1145"/>
  <c r="G1146"/>
  <c r="G1147"/>
  <c r="G1148"/>
  <c r="G1149"/>
  <c r="G1150"/>
  <c r="G1151"/>
  <c r="G1152"/>
  <c r="G1153"/>
  <c r="G1154"/>
  <c r="G1155"/>
  <c r="G1156"/>
  <c r="G1157"/>
  <c r="G1158"/>
  <c r="G1159"/>
  <c r="G1160"/>
  <c r="G1161"/>
  <c r="G1162"/>
  <c r="G1163"/>
  <c r="G1164"/>
  <c r="G1165"/>
  <c r="G1166"/>
  <c r="G1167"/>
  <c r="G1168"/>
  <c r="G1169"/>
  <c r="G1170"/>
  <c r="G1171"/>
  <c r="G1172"/>
  <c r="G1173"/>
  <c r="G1174"/>
  <c r="G1175"/>
  <c r="G1176"/>
  <c r="G1177"/>
  <c r="G1178"/>
  <c r="G1179"/>
  <c r="G1180"/>
  <c r="G1181"/>
  <c r="G1182"/>
  <c r="G1183"/>
  <c r="G1184"/>
  <c r="G1185"/>
  <c r="G1186"/>
  <c r="G1187"/>
  <c r="G1188"/>
  <c r="G1189"/>
  <c r="G1190"/>
  <c r="G1191"/>
  <c r="G1192"/>
  <c r="G1193"/>
  <c r="G1194"/>
  <c r="G1195"/>
  <c r="G1196"/>
  <c r="G1197"/>
  <c r="G1198"/>
  <c r="G1199"/>
  <c r="G1200"/>
  <c r="G1201"/>
  <c r="G1202"/>
  <c r="G1203"/>
  <c r="G1204"/>
  <c r="G1205"/>
  <c r="G1206"/>
  <c r="G1207"/>
  <c r="G1208"/>
  <c r="G1209"/>
  <c r="G1210"/>
  <c r="G1211"/>
  <c r="G1212"/>
  <c r="G1213"/>
  <c r="G1214"/>
  <c r="G1215"/>
  <c r="G1216"/>
  <c r="G1217"/>
  <c r="G1218"/>
  <c r="G1219"/>
  <c r="G1220"/>
  <c r="G1221"/>
  <c r="G1222"/>
  <c r="G1223"/>
  <c r="G1224"/>
  <c r="G1225"/>
  <c r="G1226"/>
  <c r="G1227"/>
  <c r="G1228"/>
  <c r="G1229"/>
  <c r="G1230"/>
  <c r="G1231"/>
  <c r="G1232"/>
  <c r="G1233"/>
  <c r="G1234"/>
  <c r="G1235"/>
  <c r="G1236"/>
  <c r="G1237"/>
  <c r="G1238"/>
  <c r="G1239"/>
  <c r="G1240"/>
  <c r="G1241"/>
  <c r="G1242"/>
  <c r="G1243"/>
  <c r="G1244"/>
  <c r="G1245"/>
  <c r="G1246"/>
  <c r="G1247"/>
  <c r="G1248"/>
  <c r="G1249"/>
  <c r="G1250"/>
  <c r="G1251"/>
  <c r="G1252"/>
  <c r="G1253"/>
  <c r="G1254"/>
  <c r="G1255"/>
  <c r="G1256"/>
  <c r="G1257"/>
  <c r="G1258"/>
  <c r="G1259"/>
  <c r="G1260"/>
  <c r="G1261"/>
  <c r="G1262"/>
  <c r="G1263"/>
  <c r="G1264"/>
  <c r="G1265"/>
  <c r="G1266"/>
  <c r="G1267"/>
  <c r="G1268"/>
  <c r="G1269"/>
  <c r="G1270"/>
  <c r="G1271"/>
  <c r="G1272"/>
  <c r="G1273"/>
  <c r="G1274"/>
  <c r="G1275"/>
  <c r="G1276"/>
  <c r="G1277"/>
  <c r="G1278"/>
  <c r="G1279"/>
  <c r="G1280"/>
  <c r="G1281"/>
  <c r="G1282"/>
  <c r="G1283"/>
  <c r="G1284"/>
  <c r="G1285"/>
  <c r="G1286"/>
  <c r="G1287"/>
  <c r="G1288"/>
  <c r="G1289"/>
  <c r="G1290"/>
  <c r="G1291"/>
  <c r="G1292"/>
  <c r="G1293"/>
  <c r="G1294"/>
  <c r="G1295"/>
  <c r="G1296"/>
  <c r="G1297"/>
  <c r="G1298"/>
  <c r="G1299"/>
  <c r="G1300"/>
  <c r="G1301"/>
  <c r="G1302"/>
  <c r="G1303"/>
  <c r="G1304"/>
  <c r="G1305"/>
  <c r="G1306"/>
  <c r="G1307"/>
  <c r="G1308"/>
  <c r="G1309"/>
  <c r="G1310"/>
  <c r="G1311"/>
  <c r="G1312"/>
  <c r="G1313"/>
  <c r="G1314"/>
  <c r="G1315"/>
  <c r="G1316"/>
  <c r="G1317"/>
  <c r="G1318"/>
  <c r="G1319"/>
  <c r="G1320"/>
  <c r="G1321"/>
  <c r="G1322"/>
  <c r="G1323"/>
  <c r="G1324"/>
  <c r="G1325"/>
  <c r="G1326"/>
  <c r="G1327"/>
  <c r="G1328"/>
  <c r="G1329"/>
  <c r="G1330"/>
  <c r="G1331"/>
  <c r="G1332"/>
  <c r="G1333"/>
  <c r="G1334"/>
  <c r="G1335"/>
  <c r="G1336"/>
  <c r="G1337"/>
  <c r="G1338"/>
  <c r="G1339"/>
  <c r="G1340"/>
  <c r="G1341"/>
  <c r="G1342"/>
  <c r="G1343"/>
  <c r="G1344"/>
  <c r="G1345"/>
  <c r="G1346"/>
  <c r="G1347"/>
  <c r="G1348"/>
  <c r="G1349"/>
  <c r="G1350"/>
  <c r="G1351"/>
  <c r="G1352"/>
  <c r="G1353"/>
  <c r="G1354"/>
  <c r="G1355"/>
  <c r="G1356"/>
  <c r="G1357"/>
  <c r="G1358"/>
  <c r="G1359"/>
  <c r="G1360"/>
  <c r="G1361"/>
  <c r="G1362"/>
  <c r="G1363"/>
  <c r="G1364"/>
  <c r="G1365"/>
  <c r="G1366"/>
  <c r="G1367"/>
  <c r="G1368"/>
  <c r="G1369"/>
  <c r="G1370"/>
  <c r="G1371"/>
  <c r="G1372"/>
  <c r="G1373"/>
  <c r="G1374"/>
  <c r="G1375"/>
  <c r="G1376"/>
  <c r="G1377"/>
  <c r="G1378"/>
  <c r="G1379"/>
  <c r="G1380"/>
  <c r="G1381"/>
  <c r="G1382"/>
  <c r="G1383"/>
  <c r="G1384"/>
  <c r="G1385"/>
  <c r="G1386"/>
  <c r="G1387"/>
  <c r="G1388"/>
  <c r="G1389"/>
  <c r="G1390"/>
  <c r="G1391"/>
  <c r="G1392"/>
  <c r="G1393"/>
  <c r="G1394"/>
  <c r="G1395"/>
  <c r="G1396"/>
  <c r="G1397"/>
  <c r="G1398"/>
  <c r="G1399"/>
  <c r="G1400"/>
  <c r="G1401"/>
  <c r="G1402"/>
  <c r="G1403"/>
  <c r="G1404"/>
  <c r="G1405"/>
  <c r="G1406"/>
  <c r="G1407"/>
  <c r="G1408"/>
  <c r="G1409"/>
  <c r="G1410"/>
  <c r="G1411"/>
  <c r="G1412"/>
  <c r="G1413"/>
  <c r="G1414"/>
  <c r="G1415"/>
  <c r="G1416"/>
  <c r="G1417"/>
  <c r="G1418"/>
  <c r="G1419"/>
  <c r="G1420"/>
  <c r="G1421"/>
  <c r="G1422"/>
  <c r="G1423"/>
  <c r="G1424"/>
  <c r="G1425"/>
  <c r="G1426"/>
  <c r="G1427"/>
  <c r="G1428"/>
  <c r="G1429"/>
  <c r="G1430"/>
  <c r="G1431"/>
  <c r="G1432"/>
  <c r="G1433"/>
  <c r="G1434"/>
  <c r="G1435"/>
  <c r="G1436"/>
  <c r="G1437"/>
  <c r="G1438"/>
  <c r="G1439"/>
  <c r="G1440"/>
  <c r="G1441"/>
  <c r="G1442"/>
  <c r="G1443"/>
  <c r="G1444"/>
  <c r="G1445"/>
  <c r="G1446"/>
  <c r="G1447"/>
  <c r="G1448"/>
  <c r="G1449"/>
  <c r="G1450"/>
  <c r="G1451"/>
  <c r="G1452"/>
  <c r="G1453"/>
  <c r="G1454"/>
  <c r="G1455"/>
  <c r="G1456"/>
  <c r="G1457"/>
  <c r="G1458"/>
  <c r="G1459"/>
  <c r="G1460"/>
  <c r="G1461"/>
  <c r="G1462"/>
  <c r="G1463"/>
  <c r="G1464"/>
  <c r="G1465"/>
  <c r="G1466"/>
  <c r="G1467"/>
  <c r="G1468"/>
  <c r="G1469"/>
  <c r="G1470"/>
  <c r="G1471"/>
  <c r="G1472"/>
  <c r="G1473"/>
  <c r="G1474"/>
  <c r="G1475"/>
  <c r="G1476"/>
  <c r="G1477"/>
  <c r="G1478"/>
  <c r="G1479"/>
  <c r="G1480"/>
  <c r="G1481"/>
  <c r="G1482"/>
  <c r="G1483"/>
  <c r="G1484"/>
  <c r="G1485"/>
  <c r="G1486"/>
  <c r="G1487"/>
  <c r="G1488"/>
  <c r="G1489"/>
  <c r="G1490"/>
  <c r="G1491"/>
  <c r="G1492"/>
  <c r="G1493"/>
  <c r="G1494"/>
  <c r="G1495"/>
  <c r="G1496"/>
  <c r="G1497"/>
  <c r="G1498"/>
  <c r="G1499"/>
  <c r="G1500"/>
  <c r="G1501"/>
  <c r="G1502"/>
  <c r="G1503"/>
  <c r="G1504"/>
  <c r="G1505"/>
  <c r="G1506"/>
  <c r="G1507"/>
  <c r="G1508"/>
  <c r="G1509"/>
  <c r="G1510"/>
  <c r="G1511"/>
  <c r="G1512"/>
  <c r="G1513"/>
  <c r="G1514"/>
  <c r="G1515"/>
  <c r="G1516"/>
  <c r="G1517"/>
  <c r="G1518"/>
  <c r="G1519"/>
  <c r="G1520"/>
  <c r="G1521"/>
  <c r="G1522"/>
  <c r="G1523"/>
  <c r="G1524"/>
  <c r="G1525"/>
  <c r="G1526"/>
  <c r="G1527"/>
  <c r="G1528"/>
  <c r="G1529"/>
  <c r="G1530"/>
  <c r="G1531"/>
  <c r="G1532"/>
  <c r="G1533"/>
  <c r="G1534"/>
  <c r="G1535"/>
  <c r="G1536"/>
  <c r="G1537"/>
  <c r="G1538"/>
  <c r="G1539"/>
  <c r="G1540"/>
  <c r="G1541"/>
  <c r="G1542"/>
  <c r="G1543"/>
  <c r="G1544"/>
  <c r="G1545"/>
  <c r="G1546"/>
  <c r="G1547"/>
  <c r="G1548"/>
  <c r="G1549"/>
  <c r="G1550"/>
  <c r="G1551"/>
  <c r="G1552"/>
  <c r="G1553"/>
  <c r="G1554"/>
  <c r="G1555"/>
  <c r="G1556"/>
  <c r="G1557"/>
  <c r="G1558"/>
  <c r="G1559"/>
  <c r="G1560"/>
  <c r="G1561"/>
  <c r="G1562"/>
  <c r="G1563"/>
  <c r="G1564"/>
  <c r="G1565"/>
  <c r="G1566"/>
  <c r="G1567"/>
  <c r="G1568"/>
  <c r="G1569"/>
  <c r="G1570"/>
  <c r="G1571"/>
  <c r="G1572"/>
  <c r="G1573"/>
  <c r="G1574"/>
  <c r="G1575"/>
  <c r="G1576"/>
  <c r="G1577"/>
  <c r="G1578"/>
  <c r="G1579"/>
  <c r="G1580"/>
  <c r="G1581"/>
  <c r="G1582"/>
  <c r="G1583"/>
  <c r="G1584"/>
  <c r="G1585"/>
  <c r="G1586"/>
  <c r="G1587"/>
  <c r="G1588"/>
  <c r="G1589"/>
  <c r="G1590"/>
  <c r="G1591"/>
  <c r="G1592"/>
  <c r="G1593"/>
  <c r="G1594"/>
  <c r="G1595"/>
  <c r="G1596"/>
  <c r="G1597"/>
  <c r="G1598"/>
  <c r="G1599"/>
  <c r="G1600"/>
  <c r="G1601"/>
  <c r="G1602"/>
  <c r="G1603"/>
  <c r="G1604"/>
  <c r="G1605"/>
  <c r="G1606"/>
  <c r="G1607"/>
  <c r="G1608"/>
  <c r="G1609"/>
  <c r="G1610"/>
  <c r="G1611"/>
  <c r="G1612"/>
  <c r="G1613"/>
  <c r="G1614"/>
  <c r="G1615"/>
  <c r="G1616"/>
  <c r="G1617"/>
  <c r="G1618"/>
  <c r="G1619"/>
  <c r="G1620"/>
  <c r="G1621"/>
  <c r="G1622"/>
  <c r="G1623"/>
  <c r="G1624"/>
  <c r="G1625"/>
  <c r="G1626"/>
  <c r="G1627"/>
  <c r="G1628"/>
  <c r="G1629"/>
  <c r="G1630"/>
  <c r="G1631"/>
  <c r="G1632"/>
  <c r="G1633"/>
  <c r="G1634"/>
  <c r="G1635"/>
  <c r="G1636"/>
  <c r="G1637"/>
  <c r="G1638"/>
  <c r="G1639"/>
  <c r="G1640"/>
  <c r="G1641"/>
  <c r="G1642"/>
  <c r="G1643"/>
  <c r="G1644"/>
  <c r="G1645"/>
  <c r="G1646"/>
  <c r="G1647"/>
  <c r="G1648"/>
  <c r="G1649"/>
  <c r="G1650"/>
  <c r="G1651"/>
  <c r="G1652"/>
  <c r="G1653"/>
  <c r="G1654"/>
  <c r="G1655"/>
  <c r="G1656"/>
  <c r="G1657"/>
  <c r="G1658"/>
  <c r="G1659"/>
  <c r="G1660"/>
  <c r="G1661"/>
  <c r="G1662"/>
  <c r="G1663"/>
  <c r="G1664"/>
  <c r="G1665"/>
  <c r="G1666"/>
  <c r="G1667"/>
  <c r="G1668"/>
  <c r="G1669"/>
  <c r="G1670"/>
  <c r="G1671"/>
  <c r="G1672"/>
  <c r="G1673"/>
  <c r="G1674"/>
  <c r="G1675"/>
  <c r="G1676"/>
  <c r="G1677"/>
  <c r="G1678"/>
  <c r="G1679"/>
  <c r="G1680"/>
  <c r="G1681"/>
  <c r="G1682"/>
  <c r="G1683"/>
  <c r="G1684"/>
  <c r="G1685"/>
  <c r="G1686"/>
  <c r="G1687"/>
  <c r="G1688"/>
  <c r="G1689"/>
  <c r="G1690"/>
  <c r="G1691"/>
  <c r="G1692"/>
  <c r="G1693"/>
  <c r="G1694"/>
  <c r="G1695"/>
  <c r="G1696"/>
  <c r="G1697"/>
  <c r="G1698"/>
  <c r="G1699"/>
  <c r="G1700"/>
  <c r="G1701"/>
  <c r="G1702"/>
  <c r="G1703"/>
  <c r="G1704"/>
  <c r="G1705"/>
  <c r="G1706"/>
  <c r="G1707"/>
  <c r="G1708"/>
  <c r="G1709"/>
  <c r="G1710"/>
  <c r="G1711"/>
  <c r="G1712"/>
  <c r="G1713"/>
  <c r="G1714"/>
  <c r="G1715"/>
  <c r="G1716"/>
  <c r="G1717"/>
  <c r="G1718"/>
  <c r="G1719"/>
  <c r="G1720"/>
  <c r="G1721"/>
  <c r="G1722"/>
  <c r="G1723"/>
  <c r="G1724"/>
  <c r="G1725"/>
  <c r="G1726"/>
  <c r="G1727"/>
  <c r="G1728"/>
  <c r="G1729"/>
  <c r="G1730"/>
  <c r="G1731"/>
  <c r="G1732"/>
  <c r="G1733"/>
  <c r="G1734"/>
  <c r="G1735"/>
  <c r="G1736"/>
  <c r="G1737"/>
  <c r="G1738"/>
  <c r="G1739"/>
  <c r="G1740"/>
  <c r="G1741"/>
  <c r="G1742"/>
  <c r="G1743"/>
  <c r="G1744"/>
  <c r="G1745"/>
  <c r="G1746"/>
  <c r="G1747"/>
  <c r="G1748"/>
  <c r="G1749"/>
  <c r="G1750"/>
  <c r="G1751"/>
  <c r="G1752"/>
  <c r="G1753"/>
  <c r="G1754"/>
  <c r="G1755"/>
  <c r="G1756"/>
  <c r="G1757"/>
  <c r="G1758"/>
  <c r="G1759"/>
  <c r="G1760"/>
  <c r="G1761"/>
  <c r="G1762"/>
  <c r="G1763"/>
  <c r="G1764"/>
  <c r="G1765"/>
  <c r="G1766"/>
  <c r="G1767"/>
  <c r="G1768"/>
  <c r="G1769"/>
  <c r="G1770"/>
  <c r="G1771"/>
  <c r="G1772"/>
  <c r="G1773"/>
  <c r="G1774"/>
  <c r="G1775"/>
  <c r="G1776"/>
  <c r="G1777"/>
  <c r="G1778"/>
  <c r="G1779"/>
  <c r="G1780"/>
  <c r="G1781"/>
  <c r="G1782"/>
  <c r="G1783"/>
  <c r="G1784"/>
  <c r="G1785"/>
  <c r="G1786"/>
  <c r="G1787"/>
  <c r="G1788"/>
  <c r="G1789"/>
  <c r="G1790"/>
  <c r="G1791"/>
  <c r="G1792"/>
  <c r="G1793"/>
  <c r="G1794"/>
  <c r="G1795"/>
  <c r="G1796"/>
  <c r="G1797"/>
  <c r="G1798"/>
  <c r="G1799"/>
  <c r="G1800"/>
  <c r="G1801"/>
  <c r="G1802"/>
  <c r="G1803"/>
  <c r="G1804"/>
  <c r="G1805"/>
  <c r="G1806"/>
  <c r="G1807"/>
  <c r="G1808"/>
  <c r="G1809"/>
  <c r="G1810"/>
  <c r="G6"/>
  <c r="E6" i="17"/>
  <c r="E7"/>
  <c r="E8"/>
  <c r="E12"/>
  <c r="E13"/>
  <c r="E14"/>
  <c r="E15"/>
  <c r="D15"/>
  <c r="D19"/>
  <c r="A2"/>
  <c r="A2" i="50"/>
  <c r="F7" i="3"/>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6"/>
  <c r="A2"/>
  <c r="H7" i="4" l="1"/>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203"/>
  <c r="H204"/>
  <c r="H205"/>
  <c r="H206"/>
  <c r="H207"/>
  <c r="H208"/>
  <c r="H209"/>
  <c r="H210"/>
  <c r="H211"/>
  <c r="H212"/>
  <c r="H213"/>
  <c r="H214"/>
  <c r="H215"/>
  <c r="H216"/>
  <c r="H217"/>
  <c r="H218"/>
  <c r="H219"/>
  <c r="H220"/>
  <c r="H221"/>
  <c r="H222"/>
  <c r="H223"/>
  <c r="H224"/>
  <c r="H225"/>
  <c r="H226"/>
  <c r="H227"/>
  <c r="H228"/>
  <c r="H229"/>
  <c r="H230"/>
  <c r="H231"/>
  <c r="H232"/>
  <c r="H233"/>
  <c r="H234"/>
  <c r="H235"/>
  <c r="H236"/>
  <c r="H237"/>
  <c r="H238"/>
  <c r="H239"/>
  <c r="H240"/>
  <c r="H241"/>
  <c r="H242"/>
  <c r="H243"/>
  <c r="H244"/>
  <c r="H245"/>
  <c r="H246"/>
  <c r="H247"/>
  <c r="H248"/>
  <c r="H249"/>
  <c r="H250"/>
  <c r="H251"/>
  <c r="H252"/>
  <c r="H253"/>
  <c r="H254"/>
  <c r="H255"/>
  <c r="H256"/>
  <c r="H257"/>
  <c r="H258"/>
  <c r="H259"/>
  <c r="H260"/>
  <c r="H261"/>
  <c r="H262"/>
  <c r="H263"/>
  <c r="H264"/>
  <c r="H265"/>
  <c r="H266"/>
  <c r="H267"/>
  <c r="H268"/>
  <c r="H269"/>
  <c r="H270"/>
  <c r="H271"/>
  <c r="H272"/>
  <c r="H273"/>
  <c r="H274"/>
  <c r="H275"/>
  <c r="H276"/>
  <c r="H277"/>
  <c r="H278"/>
  <c r="H279"/>
  <c r="H280"/>
  <c r="H281"/>
  <c r="H282"/>
  <c r="H283"/>
  <c r="H284"/>
  <c r="H285"/>
  <c r="H286"/>
  <c r="H287"/>
  <c r="H288"/>
  <c r="H289"/>
  <c r="H290"/>
  <c r="H291"/>
  <c r="H292"/>
  <c r="H293"/>
  <c r="H294"/>
  <c r="H295"/>
  <c r="H296"/>
  <c r="H297"/>
  <c r="H298"/>
  <c r="H299"/>
  <c r="H300"/>
  <c r="H301"/>
  <c r="H302"/>
  <c r="H303"/>
  <c r="H304"/>
  <c r="H305"/>
  <c r="H306"/>
  <c r="H307"/>
  <c r="H308"/>
  <c r="H309"/>
  <c r="H310"/>
  <c r="H311"/>
  <c r="H312"/>
  <c r="H313"/>
  <c r="H314"/>
  <c r="H315"/>
  <c r="H316"/>
  <c r="H317"/>
  <c r="H318"/>
  <c r="H319"/>
  <c r="H320"/>
  <c r="H321"/>
  <c r="H322"/>
  <c r="H323"/>
  <c r="H324"/>
  <c r="H325"/>
  <c r="H326"/>
  <c r="H327"/>
  <c r="H328"/>
  <c r="H329"/>
  <c r="H330"/>
  <c r="H331"/>
  <c r="H332"/>
  <c r="H333"/>
  <c r="H334"/>
  <c r="H335"/>
  <c r="H336"/>
  <c r="H337"/>
  <c r="H338"/>
  <c r="H339"/>
  <c r="H340"/>
  <c r="H341"/>
  <c r="H342"/>
  <c r="H343"/>
  <c r="H344"/>
  <c r="H345"/>
  <c r="H346"/>
  <c r="H347"/>
  <c r="H348"/>
  <c r="H349"/>
  <c r="H350"/>
  <c r="H351"/>
  <c r="H352"/>
  <c r="H353"/>
  <c r="H354"/>
  <c r="H355"/>
  <c r="H356"/>
  <c r="H357"/>
  <c r="H358"/>
  <c r="H359"/>
  <c r="H360"/>
  <c r="H361"/>
  <c r="H362"/>
  <c r="H363"/>
  <c r="H364"/>
  <c r="H365"/>
  <c r="H366"/>
  <c r="H367"/>
  <c r="H368"/>
  <c r="H369"/>
  <c r="H370"/>
  <c r="H371"/>
  <c r="H372"/>
  <c r="H373"/>
  <c r="H374"/>
  <c r="H375"/>
  <c r="H376"/>
  <c r="H377"/>
  <c r="H378"/>
  <c r="H379"/>
  <c r="H380"/>
  <c r="H381"/>
  <c r="H382"/>
  <c r="H383"/>
  <c r="H384"/>
  <c r="H385"/>
  <c r="H386"/>
  <c r="H387"/>
  <c r="H388"/>
  <c r="H389"/>
  <c r="H390"/>
  <c r="H391"/>
  <c r="H392"/>
  <c r="H393"/>
  <c r="H394"/>
  <c r="H395"/>
  <c r="H396"/>
  <c r="H397"/>
  <c r="H398"/>
  <c r="H399"/>
  <c r="H400"/>
  <c r="H401"/>
  <c r="H402"/>
  <c r="H403"/>
  <c r="H404"/>
  <c r="H405"/>
  <c r="H406"/>
  <c r="H407"/>
  <c r="H408"/>
  <c r="H409"/>
  <c r="H410"/>
  <c r="H411"/>
  <c r="H412"/>
  <c r="H413"/>
  <c r="H414"/>
  <c r="H415"/>
  <c r="H416"/>
  <c r="H417"/>
  <c r="H418"/>
  <c r="H419"/>
  <c r="H420"/>
  <c r="H421"/>
  <c r="H422"/>
  <c r="H423"/>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H544"/>
  <c r="H545"/>
  <c r="H546"/>
  <c r="H547"/>
  <c r="H548"/>
  <c r="H549"/>
  <c r="H550"/>
  <c r="H551"/>
  <c r="H552"/>
  <c r="H553"/>
  <c r="H554"/>
  <c r="H555"/>
  <c r="H556"/>
  <c r="H557"/>
  <c r="H558"/>
  <c r="H559"/>
  <c r="H560"/>
  <c r="H561"/>
  <c r="H562"/>
  <c r="H563"/>
  <c r="H564"/>
  <c r="H565"/>
  <c r="H566"/>
  <c r="H567"/>
  <c r="H568"/>
  <c r="H569"/>
  <c r="H570"/>
  <c r="H571"/>
  <c r="H572"/>
  <c r="H573"/>
  <c r="H574"/>
  <c r="H575"/>
  <c r="H576"/>
  <c r="H577"/>
  <c r="H578"/>
  <c r="H579"/>
  <c r="H580"/>
  <c r="H581"/>
  <c r="H582"/>
  <c r="H583"/>
  <c r="H584"/>
  <c r="H585"/>
  <c r="H586"/>
  <c r="H587"/>
  <c r="H588"/>
  <c r="H589"/>
  <c r="H590"/>
  <c r="H591"/>
  <c r="H592"/>
  <c r="H593"/>
  <c r="H594"/>
  <c r="H595"/>
  <c r="H596"/>
  <c r="H597"/>
  <c r="H598"/>
  <c r="H599"/>
  <c r="H600"/>
  <c r="H601"/>
  <c r="H602"/>
  <c r="H603"/>
  <c r="H604"/>
  <c r="H605"/>
  <c r="H606"/>
  <c r="H607"/>
  <c r="H608"/>
  <c r="H609"/>
  <c r="H610"/>
  <c r="H611"/>
  <c r="H612"/>
  <c r="H613"/>
  <c r="H614"/>
  <c r="H615"/>
  <c r="H616"/>
  <c r="H617"/>
  <c r="H618"/>
  <c r="H619"/>
  <c r="H620"/>
  <c r="H621"/>
  <c r="H622"/>
  <c r="H623"/>
  <c r="H624"/>
  <c r="H625"/>
  <c r="H626"/>
  <c r="H627"/>
  <c r="H628"/>
  <c r="H629"/>
  <c r="H630"/>
  <c r="H631"/>
  <c r="H632"/>
  <c r="H633"/>
  <c r="H634"/>
  <c r="H635"/>
  <c r="H636"/>
  <c r="H637"/>
  <c r="H638"/>
  <c r="H639"/>
  <c r="H640"/>
  <c r="H641"/>
  <c r="H642"/>
  <c r="H643"/>
  <c r="H644"/>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H682"/>
  <c r="H683"/>
  <c r="H684"/>
  <c r="H685"/>
  <c r="H686"/>
  <c r="H687"/>
  <c r="H688"/>
  <c r="H689"/>
  <c r="H690"/>
  <c r="H691"/>
  <c r="H692"/>
  <c r="H693"/>
  <c r="H694"/>
  <c r="H695"/>
  <c r="H696"/>
  <c r="H697"/>
  <c r="H698"/>
  <c r="H699"/>
  <c r="H700"/>
  <c r="H701"/>
  <c r="H702"/>
  <c r="H703"/>
  <c r="H704"/>
  <c r="H705"/>
  <c r="H706"/>
  <c r="H707"/>
  <c r="H708"/>
  <c r="H709"/>
  <c r="H710"/>
  <c r="H711"/>
  <c r="H712"/>
  <c r="H713"/>
  <c r="H714"/>
  <c r="H715"/>
  <c r="H716"/>
  <c r="H717"/>
  <c r="H718"/>
  <c r="H719"/>
  <c r="H720"/>
  <c r="H721"/>
  <c r="H722"/>
  <c r="H723"/>
  <c r="H724"/>
  <c r="H725"/>
  <c r="H726"/>
  <c r="H727"/>
  <c r="H728"/>
  <c r="H729"/>
  <c r="H730"/>
  <c r="H731"/>
  <c r="H732"/>
  <c r="H733"/>
  <c r="H734"/>
  <c r="H735"/>
  <c r="H736"/>
  <c r="H737"/>
  <c r="H738"/>
  <c r="H739"/>
  <c r="H740"/>
  <c r="H741"/>
  <c r="H742"/>
  <c r="H743"/>
  <c r="H744"/>
  <c r="H745"/>
  <c r="H746"/>
  <c r="H747"/>
  <c r="H748"/>
  <c r="H749"/>
  <c r="H750"/>
  <c r="H751"/>
  <c r="H752"/>
  <c r="H753"/>
  <c r="H754"/>
  <c r="H755"/>
  <c r="H756"/>
  <c r="H757"/>
  <c r="H758"/>
  <c r="H759"/>
  <c r="H760"/>
  <c r="H761"/>
  <c r="H762"/>
  <c r="H763"/>
  <c r="H764"/>
  <c r="H765"/>
  <c r="H766"/>
  <c r="H767"/>
  <c r="H768"/>
  <c r="H769"/>
  <c r="H770"/>
  <c r="H771"/>
  <c r="H772"/>
  <c r="H773"/>
  <c r="H774"/>
  <c r="H775"/>
  <c r="H776"/>
  <c r="H777"/>
  <c r="H778"/>
  <c r="H779"/>
  <c r="H780"/>
  <c r="H781"/>
  <c r="H782"/>
  <c r="H783"/>
  <c r="H784"/>
  <c r="H785"/>
  <c r="H786"/>
  <c r="H787"/>
  <c r="H788"/>
  <c r="H789"/>
  <c r="H790"/>
  <c r="H791"/>
  <c r="H792"/>
  <c r="H793"/>
  <c r="H794"/>
  <c r="H795"/>
  <c r="H796"/>
  <c r="H797"/>
  <c r="H798"/>
  <c r="H799"/>
  <c r="H800"/>
  <c r="H801"/>
  <c r="H802"/>
  <c r="H803"/>
  <c r="H804"/>
  <c r="H805"/>
  <c r="H806"/>
  <c r="H807"/>
  <c r="H808"/>
  <c r="H809"/>
  <c r="H810"/>
  <c r="H811"/>
  <c r="H812"/>
  <c r="H813"/>
  <c r="H814"/>
  <c r="H815"/>
  <c r="H816"/>
  <c r="H817"/>
  <c r="H818"/>
  <c r="H819"/>
  <c r="H820"/>
  <c r="H821"/>
  <c r="H822"/>
  <c r="H823"/>
  <c r="H824"/>
  <c r="H825"/>
  <c r="H826"/>
  <c r="H827"/>
  <c r="H828"/>
  <c r="H829"/>
  <c r="H830"/>
  <c r="H831"/>
  <c r="H832"/>
  <c r="H833"/>
  <c r="H834"/>
  <c r="H835"/>
  <c r="H836"/>
  <c r="H837"/>
  <c r="H838"/>
  <c r="H839"/>
  <c r="H840"/>
  <c r="H841"/>
  <c r="H842"/>
  <c r="H843"/>
  <c r="H844"/>
  <c r="H845"/>
  <c r="H846"/>
  <c r="H847"/>
  <c r="H848"/>
  <c r="H849"/>
  <c r="H850"/>
  <c r="H851"/>
  <c r="H852"/>
  <c r="H853"/>
  <c r="H854"/>
  <c r="H855"/>
  <c r="H856"/>
  <c r="H857"/>
  <c r="H858"/>
  <c r="H859"/>
  <c r="H860"/>
  <c r="H861"/>
  <c r="H862"/>
  <c r="H863"/>
  <c r="H864"/>
  <c r="H865"/>
  <c r="H866"/>
  <c r="H867"/>
  <c r="H868"/>
  <c r="H869"/>
  <c r="H870"/>
  <c r="H871"/>
  <c r="H872"/>
  <c r="H873"/>
  <c r="H874"/>
  <c r="H875"/>
  <c r="H876"/>
  <c r="H877"/>
  <c r="H878"/>
  <c r="H879"/>
  <c r="H880"/>
  <c r="H881"/>
  <c r="H882"/>
  <c r="H883"/>
  <c r="H884"/>
  <c r="H885"/>
  <c r="H886"/>
  <c r="H887"/>
  <c r="H888"/>
  <c r="H889"/>
  <c r="H890"/>
  <c r="H891"/>
  <c r="H892"/>
  <c r="H893"/>
  <c r="H894"/>
  <c r="H895"/>
  <c r="H896"/>
  <c r="H897"/>
  <c r="H898"/>
  <c r="H899"/>
  <c r="H900"/>
  <c r="H901"/>
  <c r="H902"/>
  <c r="H903"/>
  <c r="H904"/>
  <c r="H905"/>
  <c r="H906"/>
  <c r="H907"/>
  <c r="H908"/>
  <c r="H909"/>
  <c r="H910"/>
  <c r="H911"/>
  <c r="H912"/>
  <c r="H913"/>
  <c r="H914"/>
  <c r="H915"/>
  <c r="H916"/>
  <c r="H917"/>
  <c r="H918"/>
  <c r="H919"/>
  <c r="H920"/>
  <c r="H921"/>
  <c r="H922"/>
  <c r="H923"/>
  <c r="H924"/>
  <c r="H925"/>
  <c r="H926"/>
  <c r="H927"/>
  <c r="H928"/>
  <c r="H929"/>
  <c r="H930"/>
  <c r="H931"/>
  <c r="H932"/>
  <c r="H933"/>
  <c r="H934"/>
  <c r="H935"/>
  <c r="H936"/>
  <c r="H937"/>
  <c r="H938"/>
  <c r="H939"/>
  <c r="H940"/>
  <c r="H941"/>
  <c r="H942"/>
  <c r="H943"/>
  <c r="H944"/>
  <c r="H945"/>
  <c r="H946"/>
  <c r="H947"/>
  <c r="H948"/>
  <c r="H949"/>
  <c r="H950"/>
  <c r="H951"/>
  <c r="H952"/>
  <c r="H953"/>
  <c r="H954"/>
  <c r="H955"/>
  <c r="H956"/>
  <c r="H957"/>
  <c r="H958"/>
  <c r="H959"/>
  <c r="H960"/>
  <c r="H961"/>
  <c r="H962"/>
  <c r="H963"/>
  <c r="H964"/>
  <c r="H965"/>
  <c r="H966"/>
  <c r="H967"/>
  <c r="H968"/>
  <c r="H969"/>
  <c r="H970"/>
  <c r="H971"/>
  <c r="H972"/>
  <c r="H973"/>
  <c r="H974"/>
  <c r="H975"/>
  <c r="H976"/>
  <c r="H977"/>
  <c r="H978"/>
  <c r="H979"/>
  <c r="H980"/>
  <c r="H981"/>
  <c r="H982"/>
  <c r="H983"/>
  <c r="H984"/>
  <c r="H985"/>
  <c r="H986"/>
  <c r="H987"/>
  <c r="H988"/>
  <c r="H989"/>
  <c r="H990"/>
  <c r="H991"/>
  <c r="H992"/>
  <c r="H993"/>
  <c r="H994"/>
  <c r="H995"/>
  <c r="H996"/>
  <c r="H997"/>
  <c r="H998"/>
  <c r="H999"/>
  <c r="H1000"/>
  <c r="H1001"/>
  <c r="H1002"/>
  <c r="H1003"/>
  <c r="H1004"/>
  <c r="H1005"/>
  <c r="H1006"/>
  <c r="H1007"/>
  <c r="H1008"/>
  <c r="H1009"/>
  <c r="H1010"/>
  <c r="H1011"/>
  <c r="H1012"/>
  <c r="H1013"/>
  <c r="H1014"/>
  <c r="H1015"/>
  <c r="H1016"/>
  <c r="H1017"/>
  <c r="H1018"/>
  <c r="H1019"/>
  <c r="H1020"/>
  <c r="H1021"/>
  <c r="H1022"/>
  <c r="H1023"/>
  <c r="H1024"/>
  <c r="H1025"/>
  <c r="H1026"/>
  <c r="H1027"/>
  <c r="H1028"/>
  <c r="H1029"/>
  <c r="H1030"/>
  <c r="H1031"/>
  <c r="H1032"/>
  <c r="H1033"/>
  <c r="H1034"/>
  <c r="H1035"/>
  <c r="H1036"/>
  <c r="H1037"/>
  <c r="H1038"/>
  <c r="H1039"/>
  <c r="H1040"/>
  <c r="H1041"/>
  <c r="H1042"/>
  <c r="H1043"/>
  <c r="H1044"/>
  <c r="H1045"/>
  <c r="H1046"/>
  <c r="H1047"/>
  <c r="H1048"/>
  <c r="H1049"/>
  <c r="H1050"/>
  <c r="H1051"/>
  <c r="H1052"/>
  <c r="H1053"/>
  <c r="H1054"/>
  <c r="H1055"/>
  <c r="H1056"/>
  <c r="H1058"/>
  <c r="H1059"/>
  <c r="H1060"/>
  <c r="H1061"/>
  <c r="H1062"/>
  <c r="H1063"/>
  <c r="H1064"/>
  <c r="H1065"/>
  <c r="H1066"/>
  <c r="H1067"/>
  <c r="H1068"/>
  <c r="H1069"/>
  <c r="H1070"/>
  <c r="H1071"/>
  <c r="H1072"/>
  <c r="H1073"/>
  <c r="H1074"/>
  <c r="H1075"/>
  <c r="H1076"/>
  <c r="H1077"/>
  <c r="H1078"/>
  <c r="H1079"/>
  <c r="H1080"/>
  <c r="H1081"/>
  <c r="H1082"/>
  <c r="H1083"/>
  <c r="H1084"/>
  <c r="H1085"/>
  <c r="H1086"/>
  <c r="H1087"/>
  <c r="H1088"/>
  <c r="H1089"/>
  <c r="H1090"/>
  <c r="H1091"/>
  <c r="H1092"/>
  <c r="H1093"/>
  <c r="H1094"/>
  <c r="H1095"/>
  <c r="H1096"/>
  <c r="H1097"/>
  <c r="H1098"/>
  <c r="H1099"/>
  <c r="H1100"/>
  <c r="H1101"/>
  <c r="H1102"/>
  <c r="H1103"/>
  <c r="H1104"/>
  <c r="H1105"/>
  <c r="H1106"/>
  <c r="H1107"/>
  <c r="H1108"/>
  <c r="H1109"/>
  <c r="H1110"/>
  <c r="H1111"/>
  <c r="H1112"/>
  <c r="H1113"/>
  <c r="H1114"/>
  <c r="H1115"/>
  <c r="H1116"/>
  <c r="H1117"/>
  <c r="H1118"/>
  <c r="H1119"/>
  <c r="H1120"/>
  <c r="H1121"/>
  <c r="H1122"/>
  <c r="H1123"/>
  <c r="H1124"/>
  <c r="H1125"/>
  <c r="H1126"/>
  <c r="H1127"/>
  <c r="H1128"/>
  <c r="H1129"/>
  <c r="H1130"/>
  <c r="H1131"/>
  <c r="H1132"/>
  <c r="H1133"/>
  <c r="H1134"/>
  <c r="H1135"/>
  <c r="H1136"/>
  <c r="H1137"/>
  <c r="H1138"/>
  <c r="H1139"/>
  <c r="H1140"/>
  <c r="H1141"/>
  <c r="H1142"/>
  <c r="H1143"/>
  <c r="H1144"/>
  <c r="H1145"/>
  <c r="H1146"/>
  <c r="H1147"/>
  <c r="H1148"/>
  <c r="H1149"/>
  <c r="H1150"/>
  <c r="H1151"/>
  <c r="H1152"/>
  <c r="H1153"/>
  <c r="H1154"/>
  <c r="H1155"/>
  <c r="H1156"/>
  <c r="H1157"/>
  <c r="H1158"/>
  <c r="H1159"/>
  <c r="H1160"/>
  <c r="H1161"/>
  <c r="H1162"/>
  <c r="H1163"/>
  <c r="H1164"/>
  <c r="H1165"/>
  <c r="H1166"/>
  <c r="H1167"/>
  <c r="H1168"/>
  <c r="H1169"/>
  <c r="H1170"/>
  <c r="H1171"/>
  <c r="H1172"/>
  <c r="H1173"/>
  <c r="H1174"/>
  <c r="H1175"/>
  <c r="H1176"/>
  <c r="H1177"/>
  <c r="H1178"/>
  <c r="H1179"/>
  <c r="H1180"/>
  <c r="H1181"/>
  <c r="H1182"/>
  <c r="H1183"/>
  <c r="H1184"/>
  <c r="H1185"/>
  <c r="H1186"/>
  <c r="H1187"/>
  <c r="H1188"/>
  <c r="H1189"/>
  <c r="H1190"/>
  <c r="H1191"/>
  <c r="H1192"/>
  <c r="H1193"/>
  <c r="H1194"/>
  <c r="H1195"/>
  <c r="H1196"/>
  <c r="H1197"/>
  <c r="H1198"/>
  <c r="H1199"/>
  <c r="H1200"/>
  <c r="H1201"/>
  <c r="H1202"/>
  <c r="H1203"/>
  <c r="H1204"/>
  <c r="H1205"/>
  <c r="H1206"/>
  <c r="H1207"/>
  <c r="H1208"/>
  <c r="H1209"/>
  <c r="H1210"/>
  <c r="H1211"/>
  <c r="H1212"/>
  <c r="H1213"/>
  <c r="H1214"/>
  <c r="H1215"/>
  <c r="H1216"/>
  <c r="H1217"/>
  <c r="H1218"/>
  <c r="H1219"/>
  <c r="H1220"/>
  <c r="H1221"/>
  <c r="H1222"/>
  <c r="H1223"/>
  <c r="H1224"/>
  <c r="H1225"/>
  <c r="H1226"/>
  <c r="H1227"/>
  <c r="H1228"/>
  <c r="H1229"/>
  <c r="H1230"/>
  <c r="H1231"/>
  <c r="H1232"/>
  <c r="H1233"/>
  <c r="H1234"/>
  <c r="H1235"/>
  <c r="H1236"/>
  <c r="H1237"/>
  <c r="H1238"/>
  <c r="H1239"/>
  <c r="H1240"/>
  <c r="H1241"/>
  <c r="H1242"/>
  <c r="H1243"/>
  <c r="H1244"/>
  <c r="H1245"/>
  <c r="H1246"/>
  <c r="H1247"/>
  <c r="H1248"/>
  <c r="H1249"/>
  <c r="H1250"/>
  <c r="H1251"/>
  <c r="H1252"/>
  <c r="H1253"/>
  <c r="H1254"/>
  <c r="H1255"/>
  <c r="H1256"/>
  <c r="H1257"/>
  <c r="H1258"/>
  <c r="H1259"/>
  <c r="H1260"/>
  <c r="H1261"/>
  <c r="H1262"/>
  <c r="H1263"/>
  <c r="H1264"/>
  <c r="H1265"/>
  <c r="H1266"/>
  <c r="H1267"/>
  <c r="H1268"/>
  <c r="H1269"/>
  <c r="H1270"/>
  <c r="H1271"/>
  <c r="H1272"/>
  <c r="H1273"/>
  <c r="H1274"/>
  <c r="H1275"/>
  <c r="H1276"/>
  <c r="H1277"/>
  <c r="H1278"/>
  <c r="H1279"/>
  <c r="H1280"/>
  <c r="H1281"/>
  <c r="H1282"/>
  <c r="H1283"/>
  <c r="H1284"/>
  <c r="H1285"/>
  <c r="H1286"/>
  <c r="H1287"/>
  <c r="H1288"/>
  <c r="H1289"/>
  <c r="H1290"/>
  <c r="H1291"/>
  <c r="H1292"/>
  <c r="H1293"/>
  <c r="H1294"/>
  <c r="H1295"/>
  <c r="H1297"/>
  <c r="H1298"/>
  <c r="H1300"/>
  <c r="H1301"/>
  <c r="H1302"/>
  <c r="H1303"/>
  <c r="H1304"/>
  <c r="H1305"/>
  <c r="H1306"/>
  <c r="H1307"/>
  <c r="H1308"/>
  <c r="H1309"/>
  <c r="H1310"/>
  <c r="H1311"/>
  <c r="H1312"/>
  <c r="H1313"/>
  <c r="H1314"/>
  <c r="H1315"/>
  <c r="H1316"/>
  <c r="H1317"/>
  <c r="H1318"/>
  <c r="H1319"/>
  <c r="H1320"/>
  <c r="H1321"/>
  <c r="H1322"/>
  <c r="H1323"/>
  <c r="H1324"/>
  <c r="H1325"/>
  <c r="H1326"/>
  <c r="H1327"/>
  <c r="H1328"/>
  <c r="H1329"/>
  <c r="H1330"/>
  <c r="H1331"/>
  <c r="H1332"/>
  <c r="H1333"/>
  <c r="H1334"/>
  <c r="H1335"/>
  <c r="H1336"/>
  <c r="H1337"/>
  <c r="H1338"/>
  <c r="H1339"/>
  <c r="H1340"/>
  <c r="H1341"/>
  <c r="H1342"/>
  <c r="H1343"/>
  <c r="H1344"/>
  <c r="H1345"/>
  <c r="H1346"/>
  <c r="H1347"/>
  <c r="H1348"/>
  <c r="H1349"/>
  <c r="H1350"/>
  <c r="H1351"/>
  <c r="H1352"/>
  <c r="H1353"/>
  <c r="H1354"/>
  <c r="H1355"/>
  <c r="H1356"/>
  <c r="H1357"/>
  <c r="H1358"/>
  <c r="H1359"/>
  <c r="H1360"/>
  <c r="H1361"/>
  <c r="H1362"/>
  <c r="H1363"/>
  <c r="H1364"/>
  <c r="H1365"/>
  <c r="H1366"/>
  <c r="H1367"/>
  <c r="H1368"/>
  <c r="H1369"/>
  <c r="H1370"/>
  <c r="H1371"/>
  <c r="H1372"/>
  <c r="H1373"/>
  <c r="H1374"/>
  <c r="H1375"/>
  <c r="H1376"/>
  <c r="H1377"/>
  <c r="H1378"/>
  <c r="H1379"/>
  <c r="H1380"/>
  <c r="H1381"/>
  <c r="H1382"/>
  <c r="H1383"/>
  <c r="H1384"/>
  <c r="H1385"/>
  <c r="H1386"/>
  <c r="H1387"/>
  <c r="H1388"/>
  <c r="H1389"/>
  <c r="H1390"/>
  <c r="H1391"/>
  <c r="H1392"/>
  <c r="H1393"/>
  <c r="H1394"/>
  <c r="H1395"/>
  <c r="H1396"/>
  <c r="H1397"/>
  <c r="H1398"/>
  <c r="H1399"/>
  <c r="H1400"/>
  <c r="H1401"/>
  <c r="H1402"/>
  <c r="H1403"/>
  <c r="H1404"/>
  <c r="H1405"/>
  <c r="H1406"/>
  <c r="H1407"/>
  <c r="H1408"/>
  <c r="H1409"/>
  <c r="H1410"/>
  <c r="H1411"/>
  <c r="H1412"/>
  <c r="H1413"/>
  <c r="H1414"/>
  <c r="H1415"/>
  <c r="H1416"/>
  <c r="H1417"/>
  <c r="H1418"/>
  <c r="H1419"/>
  <c r="H1420"/>
  <c r="H1421"/>
  <c r="H1422"/>
  <c r="H1423"/>
  <c r="H1424"/>
  <c r="H1425"/>
  <c r="H1426"/>
  <c r="H1427"/>
  <c r="H1428"/>
  <c r="H1429"/>
  <c r="H1430"/>
  <c r="H1431"/>
  <c r="H1432"/>
  <c r="H1433"/>
  <c r="H1434"/>
  <c r="H1435"/>
  <c r="H1436"/>
  <c r="H1437"/>
  <c r="H1438"/>
  <c r="H1439"/>
  <c r="H1440"/>
  <c r="H1441"/>
  <c r="H1442"/>
  <c r="H1443"/>
  <c r="H1444"/>
  <c r="H1445"/>
  <c r="H1446"/>
  <c r="H1447"/>
  <c r="H1448"/>
  <c r="H1449"/>
  <c r="H1450"/>
  <c r="H1451"/>
  <c r="H1452"/>
  <c r="H1453"/>
  <c r="H1454"/>
  <c r="H1455"/>
  <c r="H1456"/>
  <c r="H1457"/>
  <c r="H1458"/>
  <c r="H1459"/>
  <c r="H1460"/>
  <c r="H1461"/>
  <c r="H1462"/>
  <c r="H1463"/>
  <c r="H1464"/>
  <c r="H1465"/>
  <c r="H1466"/>
  <c r="H1467"/>
  <c r="H1468"/>
  <c r="H1469"/>
  <c r="H1470"/>
  <c r="H1471"/>
  <c r="H1472"/>
  <c r="H1473"/>
  <c r="H1474"/>
  <c r="H1475"/>
  <c r="H1476"/>
  <c r="H1477"/>
  <c r="H1478"/>
  <c r="H1479"/>
  <c r="H1480"/>
  <c r="H1481"/>
  <c r="H1482"/>
  <c r="H1483"/>
  <c r="H1484"/>
  <c r="H1485"/>
  <c r="H1486"/>
  <c r="H1487"/>
  <c r="H1488"/>
  <c r="H1489"/>
  <c r="H1490"/>
  <c r="H1491"/>
  <c r="H1492"/>
  <c r="H1493"/>
  <c r="H1494"/>
  <c r="H1495"/>
  <c r="H1496"/>
  <c r="H1497"/>
  <c r="H1498"/>
  <c r="H1499"/>
  <c r="H1500"/>
  <c r="H1501"/>
  <c r="H1502"/>
  <c r="H1503"/>
  <c r="H1504"/>
  <c r="H1505"/>
  <c r="H1506"/>
  <c r="H1507"/>
  <c r="H1508"/>
  <c r="H1509"/>
  <c r="H1510"/>
  <c r="H1511"/>
  <c r="H1512"/>
  <c r="H1513"/>
  <c r="H1514"/>
  <c r="H1515"/>
  <c r="H1516"/>
  <c r="H1517"/>
  <c r="H1518"/>
  <c r="H1519"/>
  <c r="H1520"/>
  <c r="H1521"/>
  <c r="H1522"/>
  <c r="H1523"/>
  <c r="H1524"/>
  <c r="H1525"/>
  <c r="H1526"/>
  <c r="H1527"/>
  <c r="H1528"/>
  <c r="H1529"/>
  <c r="H1530"/>
  <c r="H1531"/>
  <c r="H1532"/>
  <c r="H1533"/>
  <c r="H1534"/>
  <c r="H1535"/>
  <c r="H1536"/>
  <c r="H1537"/>
  <c r="H1538"/>
  <c r="H1539"/>
  <c r="H1540"/>
  <c r="H1541"/>
  <c r="H1542"/>
  <c r="H1543"/>
  <c r="H1544"/>
  <c r="H1545"/>
  <c r="H1546"/>
  <c r="H1547"/>
  <c r="H1548"/>
  <c r="H1549"/>
  <c r="H1550"/>
  <c r="H1551"/>
  <c r="H1552"/>
  <c r="H1553"/>
  <c r="H1554"/>
  <c r="H1555"/>
  <c r="H1556"/>
  <c r="H1557"/>
  <c r="H1558"/>
  <c r="H1559"/>
  <c r="H1560"/>
  <c r="H1561"/>
  <c r="H1562"/>
  <c r="H1563"/>
  <c r="H1564"/>
  <c r="H1565"/>
  <c r="H1566"/>
  <c r="H1567"/>
  <c r="H1568"/>
  <c r="H1569"/>
  <c r="H1570"/>
  <c r="H1571"/>
  <c r="H1572"/>
  <c r="H1573"/>
  <c r="H1574"/>
  <c r="H1575"/>
  <c r="H1576"/>
  <c r="H1577"/>
  <c r="H1578"/>
  <c r="H1579"/>
  <c r="H1580"/>
  <c r="H1581"/>
  <c r="H1582"/>
  <c r="H1583"/>
  <c r="H1584"/>
  <c r="H1585"/>
  <c r="H1586"/>
  <c r="H1587"/>
  <c r="H1588"/>
  <c r="H1589"/>
  <c r="H1590"/>
  <c r="H1591"/>
  <c r="H1592"/>
  <c r="H1593"/>
  <c r="H1594"/>
  <c r="H1595"/>
  <c r="H1596"/>
  <c r="H1597"/>
  <c r="H1598"/>
  <c r="H1599"/>
  <c r="H1600"/>
  <c r="H1601"/>
  <c r="H1602"/>
  <c r="H1603"/>
  <c r="H1604"/>
  <c r="H1605"/>
  <c r="H1606"/>
  <c r="H1607"/>
  <c r="H1608"/>
  <c r="H1609"/>
  <c r="H1610"/>
  <c r="H1611"/>
  <c r="H1612"/>
  <c r="H1613"/>
  <c r="H1614"/>
  <c r="H1615"/>
  <c r="H1616"/>
  <c r="H1617"/>
  <c r="H1618"/>
  <c r="H1619"/>
  <c r="H1620"/>
  <c r="H1621"/>
  <c r="H1622"/>
  <c r="H1623"/>
  <c r="H1624"/>
  <c r="H1625"/>
  <c r="H1626"/>
  <c r="H1627"/>
  <c r="H1628"/>
  <c r="H1629"/>
  <c r="H1630"/>
  <c r="H1631"/>
  <c r="H1632"/>
  <c r="H1633"/>
  <c r="H1634"/>
  <c r="H1635"/>
  <c r="H1636"/>
  <c r="H1637"/>
  <c r="H1638"/>
  <c r="H1639"/>
  <c r="H1640"/>
  <c r="H1641"/>
  <c r="H1642"/>
  <c r="H1643"/>
  <c r="H1644"/>
  <c r="H1645"/>
  <c r="H1646"/>
  <c r="H1647"/>
  <c r="H1648"/>
  <c r="H1649"/>
  <c r="H1650"/>
  <c r="H1651"/>
  <c r="H1652"/>
  <c r="H1653"/>
  <c r="H1654"/>
  <c r="H1655"/>
  <c r="H1656"/>
  <c r="H1657"/>
  <c r="H1658"/>
  <c r="H1659"/>
  <c r="H1660"/>
  <c r="H1661"/>
  <c r="H1662"/>
  <c r="H1663"/>
  <c r="H1664"/>
  <c r="H1665"/>
  <c r="H1666"/>
  <c r="H1667"/>
  <c r="H1668"/>
  <c r="H1669"/>
  <c r="H1670"/>
  <c r="H1671"/>
  <c r="H1672"/>
  <c r="H1673"/>
  <c r="H1674"/>
  <c r="H1675"/>
  <c r="H1676"/>
  <c r="H1677"/>
  <c r="H1678"/>
  <c r="H1679"/>
  <c r="H1680"/>
  <c r="H1681"/>
  <c r="H1682"/>
  <c r="H1683"/>
  <c r="H1684"/>
  <c r="H1685"/>
  <c r="H1686"/>
  <c r="H1687"/>
  <c r="H1688"/>
  <c r="H1689"/>
  <c r="H1690"/>
  <c r="H1691"/>
  <c r="H1692"/>
  <c r="H1693"/>
  <c r="H1694"/>
  <c r="H1695"/>
  <c r="H1696"/>
  <c r="H1697"/>
  <c r="H1698"/>
  <c r="H1699"/>
  <c r="H1700"/>
  <c r="H1701"/>
  <c r="H1702"/>
  <c r="H1703"/>
  <c r="H1704"/>
  <c r="H1705"/>
  <c r="H1706"/>
  <c r="H1707"/>
  <c r="H1708"/>
  <c r="H1709"/>
  <c r="H1710"/>
  <c r="H1711"/>
  <c r="H1712"/>
  <c r="H1713"/>
  <c r="H1714"/>
  <c r="H1715"/>
  <c r="H1716"/>
  <c r="H1717"/>
  <c r="H1718"/>
  <c r="H1719"/>
  <c r="H1720"/>
  <c r="H1721"/>
  <c r="H1722"/>
  <c r="H1723"/>
  <c r="H1724"/>
  <c r="H1725"/>
  <c r="H1726"/>
  <c r="H1727"/>
  <c r="H1728"/>
  <c r="H1729"/>
  <c r="H1730"/>
  <c r="H1731"/>
  <c r="H1732"/>
  <c r="H1733"/>
  <c r="H1734"/>
  <c r="H1735"/>
  <c r="H1736"/>
  <c r="H1737"/>
  <c r="H1738"/>
  <c r="H1739"/>
  <c r="H1740"/>
  <c r="H1741"/>
  <c r="H1742"/>
  <c r="H1743"/>
  <c r="H1744"/>
  <c r="H1745"/>
  <c r="H1746"/>
  <c r="H1747"/>
  <c r="H1748"/>
  <c r="H1749"/>
  <c r="H1750"/>
  <c r="H1751"/>
  <c r="H1752"/>
  <c r="H1753"/>
  <c r="H1754"/>
  <c r="H1755"/>
  <c r="H1756"/>
  <c r="H1757"/>
  <c r="H1758"/>
  <c r="H1759"/>
  <c r="H1760"/>
  <c r="H1761"/>
  <c r="H1762"/>
  <c r="H1763"/>
  <c r="H1764"/>
  <c r="H1765"/>
  <c r="H1766"/>
  <c r="H1767"/>
  <c r="H1768"/>
  <c r="H1769"/>
  <c r="H1770"/>
  <c r="H1771"/>
  <c r="H1773"/>
  <c r="H1774"/>
  <c r="H1775"/>
  <c r="H1776"/>
  <c r="H1777"/>
  <c r="H1779"/>
  <c r="H1780"/>
  <c r="H1781"/>
  <c r="H1782"/>
  <c r="H1783"/>
  <c r="H1784"/>
  <c r="H1786"/>
  <c r="H1787"/>
  <c r="H1788"/>
  <c r="H1789"/>
  <c r="H1790"/>
  <c r="H1791"/>
  <c r="H1793"/>
  <c r="H1794"/>
  <c r="H1795"/>
  <c r="H1796"/>
  <c r="H1797"/>
  <c r="H1798"/>
  <c r="H1800"/>
  <c r="H1801"/>
  <c r="H1803"/>
  <c r="H1804"/>
  <c r="H1805"/>
  <c r="H1806"/>
  <c r="H1807"/>
  <c r="H1808"/>
  <c r="H1810"/>
  <c r="H1811"/>
  <c r="H1812"/>
  <c r="H1813"/>
  <c r="H1814"/>
  <c r="H1815"/>
  <c r="H1817"/>
  <c r="H1818"/>
  <c r="H1819"/>
  <c r="H1820"/>
  <c r="H1821"/>
  <c r="H1822"/>
  <c r="H1824"/>
  <c r="H1825"/>
  <c r="H1826"/>
  <c r="H1827"/>
  <c r="H1828"/>
  <c r="H1829"/>
  <c r="H1831"/>
  <c r="H1832"/>
  <c r="H1833"/>
  <c r="H1834"/>
  <c r="H1835"/>
  <c r="H1836"/>
  <c r="H1837"/>
  <c r="H1838"/>
  <c r="H1839"/>
  <c r="H1840"/>
  <c r="H1841"/>
  <c r="H1842"/>
  <c r="H1843"/>
  <c r="H1844"/>
  <c r="H1845"/>
  <c r="H1846"/>
  <c r="H1847"/>
  <c r="H1849"/>
  <c r="H1850"/>
  <c r="H1852"/>
  <c r="H1853"/>
  <c r="H1854"/>
  <c r="H1855"/>
  <c r="H1856"/>
  <c r="H1857"/>
  <c r="H1858"/>
  <c r="H1859"/>
  <c r="H1860"/>
  <c r="H6"/>
  <c r="I1850"/>
  <c r="I1851"/>
  <c r="I1852"/>
  <c r="I1853"/>
  <c r="I1854"/>
  <c r="I1855"/>
  <c r="I1856"/>
  <c r="I1857"/>
  <c r="I1858"/>
  <c r="I1859"/>
  <c r="I1860"/>
  <c r="A2"/>
  <c r="K12" i="44"/>
  <c r="K14"/>
  <c r="K15"/>
  <c r="K16"/>
  <c r="K17"/>
  <c r="K18"/>
  <c r="K22"/>
  <c r="K24"/>
  <c r="K26"/>
  <c r="K28"/>
  <c r="K32"/>
  <c r="K33"/>
  <c r="K35"/>
  <c r="K36"/>
  <c r="K37"/>
  <c r="K39"/>
  <c r="K40"/>
  <c r="K42"/>
  <c r="K44"/>
  <c r="K47"/>
  <c r="K50"/>
  <c r="K52"/>
  <c r="K55"/>
  <c r="K60"/>
  <c r="K62"/>
  <c r="K64"/>
  <c r="K65"/>
  <c r="K67"/>
  <c r="K74"/>
  <c r="K77"/>
  <c r="K80"/>
  <c r="K81"/>
  <c r="K83"/>
  <c r="K84"/>
  <c r="K91"/>
  <c r="K92"/>
  <c r="K93"/>
  <c r="K97"/>
  <c r="K99"/>
  <c r="K100"/>
  <c r="K101"/>
  <c r="K106"/>
  <c r="K109"/>
  <c r="K114"/>
  <c r="K115"/>
  <c r="K118"/>
  <c r="K119"/>
  <c r="K122"/>
  <c r="K125"/>
  <c r="K131"/>
  <c r="K134"/>
  <c r="K137"/>
  <c r="K140"/>
  <c r="K143"/>
  <c r="K144"/>
  <c r="K148"/>
  <c r="K149"/>
  <c r="K153"/>
  <c r="K154"/>
  <c r="K155"/>
  <c r="K156"/>
  <c r="K160"/>
  <c r="K161"/>
  <c r="K166"/>
  <c r="K167"/>
  <c r="K168"/>
  <c r="K169"/>
  <c r="K174"/>
  <c r="K175"/>
  <c r="K186"/>
  <c r="K188"/>
  <c r="K191"/>
  <c r="K194"/>
  <c r="K196"/>
  <c r="K198"/>
  <c r="K200"/>
  <c r="K202"/>
  <c r="K205"/>
  <c r="K206"/>
  <c r="K207"/>
  <c r="K208"/>
  <c r="K209"/>
  <c r="K210"/>
  <c r="K211"/>
  <c r="K212"/>
  <c r="K213"/>
  <c r="K214"/>
  <c r="K215"/>
  <c r="K216"/>
  <c r="K217"/>
  <c r="K218"/>
  <c r="K219"/>
  <c r="K220"/>
  <c r="K224"/>
  <c r="K225"/>
  <c r="K226"/>
  <c r="K227"/>
  <c r="K228"/>
  <c r="K229"/>
  <c r="K230"/>
  <c r="K231"/>
  <c r="K232"/>
  <c r="K233"/>
  <c r="K234"/>
  <c r="K235"/>
  <c r="K236"/>
  <c r="K237"/>
  <c r="K238"/>
  <c r="K239"/>
  <c r="K240"/>
  <c r="K241"/>
  <c r="K242"/>
  <c r="K243"/>
  <c r="K244"/>
  <c r="K245"/>
  <c r="K247"/>
  <c r="K249"/>
  <c r="K251"/>
  <c r="K254"/>
  <c r="K256"/>
  <c r="K258"/>
  <c r="K261"/>
  <c r="K262"/>
  <c r="K263"/>
  <c r="K264"/>
  <c r="K265"/>
  <c r="K266"/>
  <c r="K267"/>
  <c r="K268"/>
  <c r="K269"/>
  <c r="K270"/>
  <c r="K271"/>
  <c r="K272"/>
  <c r="K273"/>
  <c r="K274"/>
  <c r="K278"/>
  <c r="K279"/>
  <c r="K283"/>
  <c r="K287"/>
  <c r="K288"/>
  <c r="K290"/>
  <c r="K291"/>
  <c r="K292"/>
  <c r="K295"/>
  <c r="K297"/>
  <c r="K298"/>
  <c r="K301"/>
  <c r="K302"/>
  <c r="K303"/>
  <c r="K304"/>
  <c r="J300"/>
  <c r="J286"/>
  <c r="J289"/>
  <c r="J282"/>
  <c r="J281" s="1"/>
  <c r="J277"/>
  <c r="K277" s="1"/>
  <c r="I277"/>
  <c r="J260"/>
  <c r="J255"/>
  <c r="J204"/>
  <c r="J203" s="1"/>
  <c r="J89"/>
  <c r="J178"/>
  <c r="J177" s="1"/>
  <c r="J176" s="1"/>
  <c r="I178"/>
  <c r="I177" s="1"/>
  <c r="I176" s="1"/>
  <c r="J173"/>
  <c r="K173" s="1"/>
  <c r="I173"/>
  <c r="J170"/>
  <c r="I170"/>
  <c r="J280" l="1"/>
  <c r="J88"/>
  <c r="J165"/>
  <c r="I165"/>
  <c r="I164" s="1"/>
  <c r="J159"/>
  <c r="J152"/>
  <c r="I152"/>
  <c r="J146"/>
  <c r="K146" s="1"/>
  <c r="I146"/>
  <c r="J142"/>
  <c r="I142"/>
  <c r="J139"/>
  <c r="K139" s="1"/>
  <c r="I139"/>
  <c r="J136"/>
  <c r="I136"/>
  <c r="J133"/>
  <c r="K133" s="1"/>
  <c r="I133"/>
  <c r="J130"/>
  <c r="I130"/>
  <c r="I129" s="1"/>
  <c r="J127"/>
  <c r="I127"/>
  <c r="I126" s="1"/>
  <c r="J124"/>
  <c r="I124"/>
  <c r="J121"/>
  <c r="K121" s="1"/>
  <c r="I121"/>
  <c r="J117"/>
  <c r="I117"/>
  <c r="J113"/>
  <c r="K113" s="1"/>
  <c r="I113"/>
  <c r="J98"/>
  <c r="J82"/>
  <c r="J70"/>
  <c r="I70"/>
  <c r="I69" s="1"/>
  <c r="I68" s="1"/>
  <c r="J38"/>
  <c r="J34"/>
  <c r="J31"/>
  <c r="J23"/>
  <c r="I267"/>
  <c r="I256"/>
  <c r="I219"/>
  <c r="I196"/>
  <c r="A2"/>
  <c r="O18" i="21"/>
  <c r="J69" i="44" l="1"/>
  <c r="J129"/>
  <c r="K129" s="1"/>
  <c r="K130"/>
  <c r="J151"/>
  <c r="K152"/>
  <c r="J87"/>
  <c r="K117"/>
  <c r="K124"/>
  <c r="K136"/>
  <c r="K142"/>
  <c r="J164"/>
  <c r="K164" s="1"/>
  <c r="K165"/>
  <c r="J126"/>
  <c r="J79"/>
  <c r="J30"/>
  <c r="I60"/>
  <c r="B9" i="20"/>
  <c r="B6"/>
  <c r="E5" i="61"/>
  <c r="C10" i="24"/>
  <c r="I14" i="44"/>
  <c r="I16"/>
  <c r="C8" i="17"/>
  <c r="I1844" i="4"/>
  <c r="I1845"/>
  <c r="I1846"/>
  <c r="I1847"/>
  <c r="I1848"/>
  <c r="I1849"/>
  <c r="J150" i="44" l="1"/>
  <c r="J68"/>
  <c r="J78"/>
  <c r="I50"/>
  <c r="I97" l="1"/>
  <c r="I91"/>
  <c r="I81"/>
  <c r="I106"/>
  <c r="I160"/>
  <c r="I159" s="1"/>
  <c r="K159" s="1"/>
  <c r="I163"/>
  <c r="I151"/>
  <c r="I109"/>
  <c r="I101"/>
  <c r="I98" s="1"/>
  <c r="K98" s="1"/>
  <c r="I93"/>
  <c r="I92"/>
  <c r="I83"/>
  <c r="I80"/>
  <c r="I77"/>
  <c r="I74"/>
  <c r="I67"/>
  <c r="I64"/>
  <c r="I65"/>
  <c r="I62"/>
  <c r="I56"/>
  <c r="I55"/>
  <c r="I42"/>
  <c r="I39"/>
  <c r="I38" s="1"/>
  <c r="K38" s="1"/>
  <c r="I35"/>
  <c r="I34" s="1"/>
  <c r="K34" s="1"/>
  <c r="I32"/>
  <c r="I31" s="1"/>
  <c r="K31" s="1"/>
  <c r="I18"/>
  <c r="I17"/>
  <c r="I15"/>
  <c r="I150" l="1"/>
  <c r="K150" s="1"/>
  <c r="K151"/>
  <c r="I30"/>
  <c r="K30" s="1"/>
  <c r="I89"/>
  <c r="K89" s="1"/>
  <c r="I304"/>
  <c r="I290"/>
  <c r="I279"/>
  <c r="I254"/>
  <c r="I241"/>
  <c r="I237"/>
  <c r="I244"/>
  <c r="I247"/>
  <c r="I236"/>
  <c r="J7" i="21"/>
  <c r="J30"/>
  <c r="B9" i="53"/>
  <c r="B23" l="1"/>
  <c r="B21" i="12"/>
  <c r="B17"/>
  <c r="B15"/>
  <c r="B14"/>
  <c r="B12"/>
  <c r="B11"/>
  <c r="B7"/>
  <c r="I249" i="44" l="1"/>
  <c r="I239"/>
  <c r="I227"/>
  <c r="I188"/>
  <c r="I238"/>
  <c r="I225"/>
  <c r="I226"/>
  <c r="I1796" i="4"/>
  <c r="I1797"/>
  <c r="I1798"/>
  <c r="I1799"/>
  <c r="I1800"/>
  <c r="I1801"/>
  <c r="I1802"/>
  <c r="I1803"/>
  <c r="I1804"/>
  <c r="I1805"/>
  <c r="I1806"/>
  <c r="I1807"/>
  <c r="I1808"/>
  <c r="I1809"/>
  <c r="I1810"/>
  <c r="I1811"/>
  <c r="I1812"/>
  <c r="I1813"/>
  <c r="I1814"/>
  <c r="I1815"/>
  <c r="I1816"/>
  <c r="I1817"/>
  <c r="I1818"/>
  <c r="I1819"/>
  <c r="I1820"/>
  <c r="I1821"/>
  <c r="I1822"/>
  <c r="I1823"/>
  <c r="I1824"/>
  <c r="I1825"/>
  <c r="I1826"/>
  <c r="I1827"/>
  <c r="I1828"/>
  <c r="I1829"/>
  <c r="I1830"/>
  <c r="I1831"/>
  <c r="I1832"/>
  <c r="I1833"/>
  <c r="I1834"/>
  <c r="I1835"/>
  <c r="I1836"/>
  <c r="I1837"/>
  <c r="I1838"/>
  <c r="I1839"/>
  <c r="I1840"/>
  <c r="I1841"/>
  <c r="I1842"/>
  <c r="I1843"/>
  <c r="B22" i="12" l="1"/>
  <c r="B20"/>
  <c r="B19"/>
  <c r="B18"/>
  <c r="B16"/>
  <c r="B13"/>
  <c r="B10"/>
  <c r="B9"/>
  <c r="B8"/>
  <c r="B6"/>
  <c r="C20" i="24"/>
  <c r="C19"/>
  <c r="C18"/>
  <c r="C17"/>
  <c r="C8"/>
  <c r="B22" i="53"/>
  <c r="B20"/>
  <c r="B19"/>
  <c r="B16"/>
  <c r="B15"/>
  <c r="B14"/>
  <c r="B13"/>
  <c r="B12"/>
  <c r="B11"/>
  <c r="B10"/>
  <c r="B8"/>
  <c r="B7"/>
  <c r="B6"/>
  <c r="I191" i="44"/>
  <c r="I232"/>
  <c r="I270"/>
  <c r="I266"/>
  <c r="D22" i="61"/>
  <c r="D5" s="1"/>
  <c r="I1750" i="4"/>
  <c r="I1751"/>
  <c r="I1752"/>
  <c r="I1753"/>
  <c r="I1754"/>
  <c r="I1755"/>
  <c r="I1756"/>
  <c r="I1757"/>
  <c r="I1758"/>
  <c r="I1759"/>
  <c r="I1760"/>
  <c r="I1761"/>
  <c r="I1762"/>
  <c r="I1763"/>
  <c r="I1764"/>
  <c r="I1765"/>
  <c r="I1766"/>
  <c r="I1767"/>
  <c r="I1768"/>
  <c r="I1769"/>
  <c r="I1770"/>
  <c r="I1771"/>
  <c r="I1772"/>
  <c r="I1773"/>
  <c r="I1774"/>
  <c r="I1775"/>
  <c r="I1776"/>
  <c r="I1777"/>
  <c r="I1778"/>
  <c r="I1779"/>
  <c r="I1780"/>
  <c r="I1781"/>
  <c r="I1782"/>
  <c r="I1783"/>
  <c r="I1784"/>
  <c r="I1785"/>
  <c r="I1786"/>
  <c r="I1787"/>
  <c r="I1788"/>
  <c r="I1789"/>
  <c r="I1790"/>
  <c r="I1791"/>
  <c r="I1792"/>
  <c r="I1793"/>
  <c r="I1794"/>
  <c r="I1795"/>
  <c r="J9" i="21" l="1"/>
  <c r="J4"/>
  <c r="J29"/>
  <c r="D9" i="24"/>
  <c r="C24"/>
  <c r="C23"/>
  <c r="C22"/>
  <c r="C21"/>
  <c r="C16"/>
  <c r="C15"/>
  <c r="C14"/>
  <c r="C13"/>
  <c r="C12"/>
  <c r="C11"/>
  <c r="C9"/>
  <c r="C7"/>
  <c r="F10" l="1"/>
  <c r="I282" i="44" l="1"/>
  <c r="I281" l="1"/>
  <c r="K282"/>
  <c r="B18" i="53"/>
  <c r="B23" i="72"/>
  <c r="B22"/>
  <c r="B21"/>
  <c r="B20"/>
  <c r="B19"/>
  <c r="B18"/>
  <c r="B17"/>
  <c r="B16"/>
  <c r="B15"/>
  <c r="B14"/>
  <c r="B13"/>
  <c r="B12"/>
  <c r="B11"/>
  <c r="B10"/>
  <c r="B9"/>
  <c r="B8"/>
  <c r="B7"/>
  <c r="B6"/>
  <c r="C23" i="35"/>
  <c r="C22"/>
  <c r="C21"/>
  <c r="C20"/>
  <c r="C19"/>
  <c r="C18"/>
  <c r="C17"/>
  <c r="C16"/>
  <c r="C15"/>
  <c r="C13"/>
  <c r="C12"/>
  <c r="C11"/>
  <c r="C10"/>
  <c r="C9"/>
  <c r="C6"/>
  <c r="I245" i="44"/>
  <c r="I234"/>
  <c r="I229"/>
  <c r="I240"/>
  <c r="I265"/>
  <c r="I260" s="1"/>
  <c r="K260" s="1"/>
  <c r="I224"/>
  <c r="I243"/>
  <c r="I231"/>
  <c r="I228"/>
  <c r="I230"/>
  <c r="I233"/>
  <c r="I287"/>
  <c r="I288"/>
  <c r="I1746" i="4"/>
  <c r="I1747"/>
  <c r="I1748"/>
  <c r="I1749"/>
  <c r="B16" i="18"/>
  <c r="I280" i="44" l="1"/>
  <c r="K280" s="1"/>
  <c r="K281"/>
  <c r="E7" i="49"/>
  <c r="D7" i="48"/>
  <c r="F7" i="45"/>
  <c r="I1745" i="4"/>
  <c r="I1744"/>
  <c r="I1743"/>
  <c r="I1742"/>
  <c r="I1741"/>
  <c r="I1740"/>
  <c r="I1739"/>
  <c r="I1738"/>
  <c r="I1737"/>
  <c r="I1736"/>
  <c r="I1735"/>
  <c r="I1734"/>
  <c r="I1733"/>
  <c r="I1732"/>
  <c r="I1731"/>
  <c r="I1730"/>
  <c r="I1729"/>
  <c r="I1728"/>
  <c r="I1727"/>
  <c r="I1726"/>
  <c r="I1725"/>
  <c r="I1724"/>
  <c r="I1723"/>
  <c r="I1722"/>
  <c r="I1721"/>
  <c r="I1720"/>
  <c r="I1719"/>
  <c r="I1718"/>
  <c r="I1717"/>
  <c r="I1716"/>
  <c r="I1715"/>
  <c r="I1714"/>
  <c r="I1713"/>
  <c r="I1712"/>
  <c r="I1711"/>
  <c r="I1710"/>
  <c r="I1709"/>
  <c r="I1708"/>
  <c r="I1707"/>
  <c r="I1706"/>
  <c r="I1705"/>
  <c r="I1704"/>
  <c r="I1703"/>
  <c r="I1702"/>
  <c r="I1701"/>
  <c r="I1700"/>
  <c r="I1699"/>
  <c r="I1698"/>
  <c r="I1697"/>
  <c r="I1696"/>
  <c r="I1695"/>
  <c r="I1694"/>
  <c r="I1693"/>
  <c r="I1692"/>
  <c r="I1691"/>
  <c r="I1690"/>
  <c r="I1689"/>
  <c r="I1688"/>
  <c r="I1687"/>
  <c r="I1686"/>
  <c r="I1685"/>
  <c r="I1684"/>
  <c r="I1683"/>
  <c r="I1682"/>
  <c r="I1681"/>
  <c r="I1680"/>
  <c r="I1679"/>
  <c r="I1678"/>
  <c r="I1677"/>
  <c r="I1676"/>
  <c r="I1675"/>
  <c r="I1674"/>
  <c r="I1673"/>
  <c r="I1672"/>
  <c r="I1671"/>
  <c r="I1670"/>
  <c r="I1669"/>
  <c r="I1668"/>
  <c r="I1667"/>
  <c r="I1666"/>
  <c r="I1665"/>
  <c r="I1664"/>
  <c r="I1663"/>
  <c r="I1662"/>
  <c r="I1661"/>
  <c r="I1660"/>
  <c r="I1659"/>
  <c r="I1658"/>
  <c r="I1657"/>
  <c r="I1656"/>
  <c r="I1655"/>
  <c r="I1654"/>
  <c r="I1653"/>
  <c r="I1652"/>
  <c r="I1651"/>
  <c r="I1650"/>
  <c r="I1649"/>
  <c r="J6" i="21"/>
  <c r="A2" i="52"/>
  <c r="K18" i="21"/>
  <c r="L18"/>
  <c r="J18"/>
  <c r="L30"/>
  <c r="L34" s="1"/>
  <c r="K30"/>
  <c r="K34" s="1"/>
  <c r="J34"/>
  <c r="J299" i="44"/>
  <c r="J296"/>
  <c r="C6" i="58"/>
  <c r="J294" i="44" l="1"/>
  <c r="J293" l="1"/>
  <c r="B5" i="74"/>
  <c r="I286" i="44"/>
  <c r="K286" s="1"/>
  <c r="I216"/>
  <c r="J285" l="1"/>
  <c r="E7" i="48"/>
  <c r="G7" i="45"/>
  <c r="H1290"/>
  <c r="H1291"/>
  <c r="H1292"/>
  <c r="H1293"/>
  <c r="H1294"/>
  <c r="H1295"/>
  <c r="H1296"/>
  <c r="H1297"/>
  <c r="H1298"/>
  <c r="H1299"/>
  <c r="H1300"/>
  <c r="H1301"/>
  <c r="H1302"/>
  <c r="H1303"/>
  <c r="H1304"/>
  <c r="H1305"/>
  <c r="H1306"/>
  <c r="F7" i="49"/>
  <c r="J284" i="44" l="1"/>
  <c r="I1349" i="4"/>
  <c r="I1350"/>
  <c r="I1351"/>
  <c r="I1352"/>
  <c r="I1353"/>
  <c r="I1354"/>
  <c r="I1355"/>
  <c r="I1356"/>
  <c r="I1357"/>
  <c r="I1358"/>
  <c r="I1359"/>
  <c r="I1360"/>
  <c r="I1361"/>
  <c r="I1362"/>
  <c r="I1363"/>
  <c r="I1364"/>
  <c r="I1365"/>
  <c r="I1366"/>
  <c r="I1367"/>
  <c r="I1368"/>
  <c r="I1369"/>
  <c r="I1370"/>
  <c r="I1371"/>
  <c r="I1372"/>
  <c r="I1373"/>
  <c r="I1374"/>
  <c r="I1375"/>
  <c r="I1376"/>
  <c r="I1377"/>
  <c r="I1378"/>
  <c r="I1379"/>
  <c r="I1380"/>
  <c r="I1381"/>
  <c r="I1382"/>
  <c r="I1383"/>
  <c r="I1384"/>
  <c r="I1385"/>
  <c r="I1386"/>
  <c r="I1387"/>
  <c r="I1388"/>
  <c r="I1389"/>
  <c r="I1390"/>
  <c r="I1391"/>
  <c r="I1392"/>
  <c r="I1393"/>
  <c r="I1394"/>
  <c r="I1395"/>
  <c r="I1396"/>
  <c r="I1397"/>
  <c r="I1398"/>
  <c r="I1399"/>
  <c r="I1400"/>
  <c r="I1401"/>
  <c r="I1402"/>
  <c r="I1403"/>
  <c r="I1404"/>
  <c r="I1405"/>
  <c r="I1406"/>
  <c r="I1407"/>
  <c r="I1408"/>
  <c r="I1409"/>
  <c r="I1410"/>
  <c r="I1411"/>
  <c r="I1412"/>
  <c r="I1413"/>
  <c r="I1414"/>
  <c r="I1415"/>
  <c r="I1416"/>
  <c r="I1417"/>
  <c r="I1418"/>
  <c r="I1419"/>
  <c r="I1420"/>
  <c r="I1421"/>
  <c r="I1422"/>
  <c r="I1423"/>
  <c r="I1424"/>
  <c r="I1425"/>
  <c r="I1426"/>
  <c r="I1427"/>
  <c r="I1428"/>
  <c r="I1429"/>
  <c r="I1430"/>
  <c r="I1431"/>
  <c r="I1432"/>
  <c r="I1433"/>
  <c r="I1434"/>
  <c r="I1435"/>
  <c r="I1436"/>
  <c r="I1437"/>
  <c r="I1438"/>
  <c r="I1439"/>
  <c r="I1440"/>
  <c r="I1441"/>
  <c r="I1442"/>
  <c r="I1443"/>
  <c r="I1444"/>
  <c r="I1445"/>
  <c r="I1446"/>
  <c r="I1447"/>
  <c r="I1448"/>
  <c r="I1449"/>
  <c r="I1450"/>
  <c r="I1451"/>
  <c r="I1452"/>
  <c r="I1453"/>
  <c r="I1454"/>
  <c r="I1455"/>
  <c r="I1456"/>
  <c r="I1457"/>
  <c r="I1458"/>
  <c r="I1459"/>
  <c r="I1460"/>
  <c r="I1461"/>
  <c r="I1462"/>
  <c r="I1463"/>
  <c r="I1464"/>
  <c r="I1465"/>
  <c r="I1466"/>
  <c r="I1467"/>
  <c r="I1468"/>
  <c r="I1469"/>
  <c r="I1470"/>
  <c r="I1471"/>
  <c r="I1472"/>
  <c r="I1473"/>
  <c r="I1474"/>
  <c r="I1475"/>
  <c r="I1476"/>
  <c r="I1477"/>
  <c r="I1478"/>
  <c r="I1479"/>
  <c r="I1480"/>
  <c r="I1481"/>
  <c r="I1482"/>
  <c r="I1483"/>
  <c r="I1484"/>
  <c r="I1485"/>
  <c r="I1486"/>
  <c r="I1487"/>
  <c r="I1488"/>
  <c r="I1489"/>
  <c r="I1490"/>
  <c r="I1491"/>
  <c r="I1492"/>
  <c r="I1493"/>
  <c r="I1494"/>
  <c r="I1495"/>
  <c r="I1496"/>
  <c r="I1497"/>
  <c r="I1498"/>
  <c r="I1499"/>
  <c r="I1500"/>
  <c r="I1501"/>
  <c r="I1502"/>
  <c r="I1503"/>
  <c r="I1504"/>
  <c r="I1505"/>
  <c r="I1506"/>
  <c r="I1507"/>
  <c r="I1508"/>
  <c r="I1509"/>
  <c r="I1510"/>
  <c r="I1511"/>
  <c r="I1512"/>
  <c r="I1513"/>
  <c r="I1514"/>
  <c r="I1515"/>
  <c r="I1516"/>
  <c r="I1517"/>
  <c r="I1518"/>
  <c r="I1519"/>
  <c r="I1520"/>
  <c r="I1521"/>
  <c r="I1522"/>
  <c r="I1523"/>
  <c r="I1524"/>
  <c r="I1525"/>
  <c r="I1526"/>
  <c r="I1527"/>
  <c r="I1528"/>
  <c r="I1529"/>
  <c r="I1530"/>
  <c r="I1531"/>
  <c r="I1532"/>
  <c r="I1533"/>
  <c r="I1534"/>
  <c r="I1535"/>
  <c r="I1536"/>
  <c r="I1537"/>
  <c r="I1538"/>
  <c r="I1539"/>
  <c r="I1540"/>
  <c r="I1541"/>
  <c r="I1542"/>
  <c r="I1543"/>
  <c r="I1544"/>
  <c r="I1545"/>
  <c r="I1546"/>
  <c r="I1547"/>
  <c r="I1548"/>
  <c r="I1549"/>
  <c r="I1550"/>
  <c r="I1551"/>
  <c r="I1552"/>
  <c r="I1553"/>
  <c r="I1554"/>
  <c r="I1555"/>
  <c r="I1556"/>
  <c r="I1557"/>
  <c r="I1558"/>
  <c r="I1559"/>
  <c r="I1560"/>
  <c r="I1561"/>
  <c r="I1562"/>
  <c r="I1563"/>
  <c r="I1564"/>
  <c r="I1565"/>
  <c r="I1566"/>
  <c r="I1567"/>
  <c r="I1568"/>
  <c r="I1569"/>
  <c r="I1570"/>
  <c r="I1571"/>
  <c r="I1572"/>
  <c r="I1573"/>
  <c r="I1574"/>
  <c r="I1575"/>
  <c r="I1576"/>
  <c r="I1577"/>
  <c r="I1578"/>
  <c r="I1579"/>
  <c r="I1580"/>
  <c r="I1581"/>
  <c r="I1582"/>
  <c r="I1583"/>
  <c r="I1584"/>
  <c r="I1585"/>
  <c r="I1586"/>
  <c r="I1587"/>
  <c r="I1588"/>
  <c r="I1589"/>
  <c r="I1590"/>
  <c r="I1591"/>
  <c r="I1592"/>
  <c r="I1593"/>
  <c r="I1594"/>
  <c r="I1595"/>
  <c r="I1596"/>
  <c r="I1597"/>
  <c r="I1598"/>
  <c r="I1599"/>
  <c r="I1600"/>
  <c r="I1601"/>
  <c r="I1602"/>
  <c r="I1603"/>
  <c r="I1604"/>
  <c r="I1605"/>
  <c r="I1606"/>
  <c r="I1607"/>
  <c r="I1608"/>
  <c r="I1609"/>
  <c r="I1610"/>
  <c r="I1611"/>
  <c r="I1612"/>
  <c r="I1613"/>
  <c r="I1614"/>
  <c r="I1615"/>
  <c r="I1616"/>
  <c r="I1617"/>
  <c r="I1618"/>
  <c r="I1619"/>
  <c r="I1620"/>
  <c r="I1621"/>
  <c r="I1622"/>
  <c r="I1623"/>
  <c r="I1624"/>
  <c r="I1625"/>
  <c r="I1626"/>
  <c r="I1627"/>
  <c r="I1628"/>
  <c r="I1629"/>
  <c r="I1630"/>
  <c r="I1631"/>
  <c r="I1632"/>
  <c r="I1633"/>
  <c r="I1634"/>
  <c r="I1635"/>
  <c r="I1636"/>
  <c r="I1637"/>
  <c r="I1638"/>
  <c r="I1639"/>
  <c r="I1640"/>
  <c r="I1641"/>
  <c r="I1642"/>
  <c r="I1643"/>
  <c r="I1644"/>
  <c r="I1645"/>
  <c r="I1646"/>
  <c r="I1647"/>
  <c r="I1648"/>
  <c r="I300" i="44" l="1"/>
  <c r="I296"/>
  <c r="I289"/>
  <c r="K289" s="1"/>
  <c r="I299" l="1"/>
  <c r="K299" s="1"/>
  <c r="K300"/>
  <c r="I294"/>
  <c r="K296"/>
  <c r="J257"/>
  <c r="K257" s="1"/>
  <c r="I257"/>
  <c r="J197"/>
  <c r="I197"/>
  <c r="J199"/>
  <c r="K199" s="1"/>
  <c r="I199"/>
  <c r="I293" l="1"/>
  <c r="K294"/>
  <c r="K197"/>
  <c r="I255"/>
  <c r="K255" s="1"/>
  <c r="J201"/>
  <c r="K201" s="1"/>
  <c r="I201"/>
  <c r="J190"/>
  <c r="I190"/>
  <c r="I189" s="1"/>
  <c r="J259"/>
  <c r="K259" s="1"/>
  <c r="I259"/>
  <c r="K293" l="1"/>
  <c r="I285"/>
  <c r="J189"/>
  <c r="K189" s="1"/>
  <c r="K190"/>
  <c r="I251"/>
  <c r="I204"/>
  <c r="K204" s="1"/>
  <c r="H1258" i="45"/>
  <c r="H1259"/>
  <c r="H1260"/>
  <c r="H1261"/>
  <c r="H1262"/>
  <c r="H1263"/>
  <c r="H1264"/>
  <c r="H1265"/>
  <c r="H1266"/>
  <c r="H1267"/>
  <c r="H1268"/>
  <c r="H1269"/>
  <c r="H1270"/>
  <c r="H1271"/>
  <c r="H1272"/>
  <c r="H1273"/>
  <c r="H1274"/>
  <c r="H1275"/>
  <c r="H1276"/>
  <c r="H1277"/>
  <c r="H1278"/>
  <c r="H1279"/>
  <c r="H1280"/>
  <c r="H1281"/>
  <c r="H1282"/>
  <c r="H1283"/>
  <c r="H1284"/>
  <c r="H1285"/>
  <c r="H1286"/>
  <c r="H1287"/>
  <c r="H1288"/>
  <c r="H1289"/>
  <c r="I1321" i="4"/>
  <c r="I1322"/>
  <c r="I1323"/>
  <c r="I1324"/>
  <c r="I1325"/>
  <c r="I1326"/>
  <c r="I1327"/>
  <c r="I1328"/>
  <c r="I1329"/>
  <c r="I1330"/>
  <c r="I1331"/>
  <c r="I1332"/>
  <c r="I1333"/>
  <c r="I1334"/>
  <c r="I1335"/>
  <c r="I1336"/>
  <c r="I1337"/>
  <c r="I1338"/>
  <c r="I1339"/>
  <c r="I1340"/>
  <c r="I1341"/>
  <c r="I1342"/>
  <c r="I1343"/>
  <c r="I1344"/>
  <c r="I1345"/>
  <c r="I1346"/>
  <c r="I1347"/>
  <c r="I1348"/>
  <c r="I284" i="44" l="1"/>
  <c r="K284" s="1"/>
  <c r="K285"/>
  <c r="I203"/>
  <c r="K203" s="1"/>
  <c r="I105"/>
  <c r="I104" s="1"/>
  <c r="J276"/>
  <c r="I276"/>
  <c r="I275" s="1"/>
  <c r="J253"/>
  <c r="I253"/>
  <c r="I252" s="1"/>
  <c r="J250"/>
  <c r="K250" s="1"/>
  <c r="I250"/>
  <c r="J248"/>
  <c r="K248" s="1"/>
  <c r="I248"/>
  <c r="J246"/>
  <c r="K246" s="1"/>
  <c r="I246"/>
  <c r="J223"/>
  <c r="I223"/>
  <c r="I222" s="1"/>
  <c r="I221" s="1"/>
  <c r="J195"/>
  <c r="K195" s="1"/>
  <c r="I195"/>
  <c r="J193"/>
  <c r="I193"/>
  <c r="J187"/>
  <c r="K187" s="1"/>
  <c r="I187"/>
  <c r="J185"/>
  <c r="I185"/>
  <c r="I184" s="1"/>
  <c r="J172"/>
  <c r="K172" s="1"/>
  <c r="I172"/>
  <c r="J162"/>
  <c r="I162"/>
  <c r="J158"/>
  <c r="K158" s="1"/>
  <c r="I158"/>
  <c r="J145"/>
  <c r="K145" s="1"/>
  <c r="I145"/>
  <c r="J141"/>
  <c r="K141" s="1"/>
  <c r="I141"/>
  <c r="J138"/>
  <c r="K138" s="1"/>
  <c r="I138"/>
  <c r="J135"/>
  <c r="K135" s="1"/>
  <c r="I135"/>
  <c r="J132"/>
  <c r="K132" s="1"/>
  <c r="I132"/>
  <c r="J123"/>
  <c r="K123" s="1"/>
  <c r="I123"/>
  <c r="J120"/>
  <c r="K120" s="1"/>
  <c r="I120"/>
  <c r="J116"/>
  <c r="K116" s="1"/>
  <c r="I116"/>
  <c r="J112"/>
  <c r="K112" s="1"/>
  <c r="I112"/>
  <c r="J108"/>
  <c r="I108"/>
  <c r="I107" s="1"/>
  <c r="J105"/>
  <c r="J96"/>
  <c r="I96"/>
  <c r="I95" s="1"/>
  <c r="I94" s="1"/>
  <c r="I88"/>
  <c r="I82"/>
  <c r="K82" s="1"/>
  <c r="J76"/>
  <c r="I76"/>
  <c r="I75" s="1"/>
  <c r="J73"/>
  <c r="I73"/>
  <c r="I72" s="1"/>
  <c r="J66"/>
  <c r="I66"/>
  <c r="J63"/>
  <c r="I63"/>
  <c r="J61"/>
  <c r="I61"/>
  <c r="J59"/>
  <c r="I59"/>
  <c r="J54"/>
  <c r="I54"/>
  <c r="I53" s="1"/>
  <c r="J51"/>
  <c r="I51"/>
  <c r="J49"/>
  <c r="I49"/>
  <c r="I48" s="1"/>
  <c r="J46"/>
  <c r="I46"/>
  <c r="J43"/>
  <c r="I43"/>
  <c r="J41"/>
  <c r="I41"/>
  <c r="J27"/>
  <c r="I27"/>
  <c r="J25"/>
  <c r="I25"/>
  <c r="I23"/>
  <c r="K23" s="1"/>
  <c r="J21"/>
  <c r="I21"/>
  <c r="J13"/>
  <c r="K13" s="1"/>
  <c r="I13"/>
  <c r="J11"/>
  <c r="I11"/>
  <c r="I10" s="1"/>
  <c r="K25" l="1"/>
  <c r="K193"/>
  <c r="J10"/>
  <c r="K10" s="1"/>
  <c r="K11"/>
  <c r="J107"/>
  <c r="K107" s="1"/>
  <c r="K108"/>
  <c r="J275"/>
  <c r="K275" s="1"/>
  <c r="K276"/>
  <c r="K21"/>
  <c r="J72"/>
  <c r="K72" s="1"/>
  <c r="K73"/>
  <c r="I87"/>
  <c r="K87" s="1"/>
  <c r="K88"/>
  <c r="K41"/>
  <c r="K46"/>
  <c r="K51"/>
  <c r="K59"/>
  <c r="K63"/>
  <c r="J104"/>
  <c r="K104" s="1"/>
  <c r="K105"/>
  <c r="J184"/>
  <c r="K184" s="1"/>
  <c r="K185"/>
  <c r="J222"/>
  <c r="K223"/>
  <c r="J252"/>
  <c r="K252" s="1"/>
  <c r="K253"/>
  <c r="J53"/>
  <c r="K53" s="1"/>
  <c r="K54"/>
  <c r="J75"/>
  <c r="K75" s="1"/>
  <c r="K76"/>
  <c r="J95"/>
  <c r="K96"/>
  <c r="K27"/>
  <c r="K43"/>
  <c r="K49"/>
  <c r="K61"/>
  <c r="K66"/>
  <c r="J157"/>
  <c r="J58"/>
  <c r="J183"/>
  <c r="I111"/>
  <c r="I58"/>
  <c r="I57" s="1"/>
  <c r="J111"/>
  <c r="I79"/>
  <c r="J29"/>
  <c r="I45"/>
  <c r="I183"/>
  <c r="J9"/>
  <c r="I29"/>
  <c r="J48"/>
  <c r="J103"/>
  <c r="I157"/>
  <c r="I9"/>
  <c r="I86"/>
  <c r="J192"/>
  <c r="K192" s="1"/>
  <c r="I20"/>
  <c r="I19" s="1"/>
  <c r="J20"/>
  <c r="I192"/>
  <c r="I103"/>
  <c r="J110" l="1"/>
  <c r="K111"/>
  <c r="J57"/>
  <c r="K57" s="1"/>
  <c r="K58"/>
  <c r="J94"/>
  <c r="K95"/>
  <c r="J221"/>
  <c r="K221" s="1"/>
  <c r="K222"/>
  <c r="K103"/>
  <c r="I78"/>
  <c r="K78" s="1"/>
  <c r="K79"/>
  <c r="K9"/>
  <c r="K183"/>
  <c r="J19"/>
  <c r="K19" s="1"/>
  <c r="K20"/>
  <c r="K29"/>
  <c r="J45"/>
  <c r="K45" s="1"/>
  <c r="K48"/>
  <c r="K157"/>
  <c r="I110"/>
  <c r="I8" s="1"/>
  <c r="I182"/>
  <c r="I181" s="1"/>
  <c r="J182"/>
  <c r="J86" l="1"/>
  <c r="K86" s="1"/>
  <c r="K94"/>
  <c r="K110"/>
  <c r="J181"/>
  <c r="K181" s="1"/>
  <c r="K182"/>
  <c r="I305"/>
  <c r="L24" i="21"/>
  <c r="K24"/>
  <c r="J24"/>
  <c r="C7" i="17"/>
  <c r="D7"/>
  <c r="C9"/>
  <c r="D9"/>
  <c r="C19"/>
  <c r="E19" s="1"/>
  <c r="D25" i="6"/>
  <c r="C25"/>
  <c r="C6"/>
  <c r="D6"/>
  <c r="B7"/>
  <c r="B8"/>
  <c r="B9"/>
  <c r="B10"/>
  <c r="B11"/>
  <c r="B12"/>
  <c r="B13"/>
  <c r="B14"/>
  <c r="B15"/>
  <c r="B16"/>
  <c r="B17"/>
  <c r="B18"/>
  <c r="B19"/>
  <c r="B20"/>
  <c r="B21"/>
  <c r="B22"/>
  <c r="B23"/>
  <c r="B43" i="24"/>
  <c r="B42"/>
  <c r="B41"/>
  <c r="B40"/>
  <c r="B39"/>
  <c r="B38"/>
  <c r="B37"/>
  <c r="B36"/>
  <c r="B35"/>
  <c r="B34"/>
  <c r="B33"/>
  <c r="B32"/>
  <c r="B31"/>
  <c r="B30"/>
  <c r="F25"/>
  <c r="B29"/>
  <c r="B28"/>
  <c r="B27"/>
  <c r="B26"/>
  <c r="D25"/>
  <c r="C25"/>
  <c r="C44" s="1"/>
  <c r="E24"/>
  <c r="B24"/>
  <c r="E23"/>
  <c r="B23" s="1"/>
  <c r="E22"/>
  <c r="B22" s="1"/>
  <c r="E21"/>
  <c r="B21" s="1"/>
  <c r="E20"/>
  <c r="B20" s="1"/>
  <c r="E19"/>
  <c r="B19" s="1"/>
  <c r="E18"/>
  <c r="B18"/>
  <c r="E17"/>
  <c r="B17" s="1"/>
  <c r="E16"/>
  <c r="B16"/>
  <c r="E15"/>
  <c r="B15" s="1"/>
  <c r="E14"/>
  <c r="B14" s="1"/>
  <c r="E13"/>
  <c r="B13" s="1"/>
  <c r="E12"/>
  <c r="B12" s="1"/>
  <c r="E11"/>
  <c r="B11" s="1"/>
  <c r="E10"/>
  <c r="B10" s="1"/>
  <c r="E9"/>
  <c r="B9" s="1"/>
  <c r="E8"/>
  <c r="E7"/>
  <c r="B7" s="1"/>
  <c r="F6"/>
  <c r="D6"/>
  <c r="C6"/>
  <c r="J8" i="44" l="1"/>
  <c r="E6" i="24"/>
  <c r="D6" i="17"/>
  <c r="C6"/>
  <c r="C15"/>
  <c r="B8" i="24"/>
  <c r="B6" s="1"/>
  <c r="E25"/>
  <c r="B25" s="1"/>
  <c r="K8" i="44" l="1"/>
  <c r="J305"/>
  <c r="A2" i="73"/>
  <c r="A1"/>
  <c r="K305" i="44" l="1"/>
  <c r="B6" i="73"/>
  <c r="C6" i="69" l="1"/>
  <c r="D6"/>
  <c r="G26" i="59" l="1"/>
  <c r="B6" i="68"/>
  <c r="B5" i="64" l="1"/>
  <c r="A1" l="1"/>
  <c r="B5" i="72"/>
  <c r="D6" i="65"/>
  <c r="C6" l="1"/>
  <c r="B6"/>
  <c r="A2"/>
  <c r="A1"/>
  <c r="B6" i="63"/>
  <c r="A2"/>
  <c r="A1"/>
  <c r="B1" i="61" l="1"/>
  <c r="C6" i="62" l="1"/>
  <c r="B6"/>
  <c r="A1" l="1"/>
  <c r="D6" i="60" l="1"/>
  <c r="C6"/>
  <c r="B6"/>
  <c r="A2"/>
  <c r="A1"/>
  <c r="D6" i="58"/>
  <c r="B6" l="1"/>
  <c r="A1"/>
  <c r="A2" i="59" l="1"/>
  <c r="E26" l="1"/>
  <c r="F26"/>
  <c r="A1"/>
  <c r="C8" i="20"/>
  <c r="B8"/>
  <c r="D8" l="1"/>
  <c r="C5"/>
  <c r="B5"/>
  <c r="A1"/>
  <c r="D5" l="1"/>
  <c r="C6" i="52"/>
  <c r="B6"/>
  <c r="A1"/>
  <c r="C5" i="12" l="1"/>
  <c r="B5"/>
  <c r="A1"/>
  <c r="D5" i="35" l="1"/>
  <c r="C5"/>
  <c r="A1"/>
  <c r="C5" i="18"/>
  <c r="B5"/>
  <c r="A1"/>
  <c r="B43" i="6"/>
  <c r="B42"/>
  <c r="B41"/>
  <c r="B40"/>
  <c r="B39"/>
  <c r="B38"/>
  <c r="B37"/>
  <c r="B36"/>
  <c r="B35"/>
  <c r="B34"/>
  <c r="B33"/>
  <c r="B32"/>
  <c r="B31"/>
  <c r="B30"/>
  <c r="B29"/>
  <c r="B28"/>
  <c r="B27"/>
  <c r="B26"/>
  <c r="B24"/>
  <c r="B6" s="1"/>
  <c r="B25" l="1"/>
  <c r="A1" l="1"/>
  <c r="C5" i="53" l="1"/>
  <c r="B5" l="1"/>
  <c r="A1" l="1"/>
  <c r="A1" i="24" l="1"/>
  <c r="D6" i="66" l="1"/>
  <c r="C6"/>
  <c r="B6"/>
  <c r="A2"/>
  <c r="A1"/>
  <c r="D6" i="70" l="1"/>
  <c r="C6"/>
  <c r="B6"/>
  <c r="A2"/>
  <c r="A1"/>
  <c r="C5" i="67"/>
  <c r="B5"/>
  <c r="A1"/>
  <c r="D6" i="68"/>
  <c r="C6"/>
  <c r="A2"/>
  <c r="A1"/>
  <c r="B6" i="69"/>
  <c r="A2"/>
  <c r="A1"/>
  <c r="M7" i="26"/>
  <c r="L7"/>
  <c r="K7" l="1"/>
  <c r="J7"/>
  <c r="I7"/>
  <c r="E7" l="1"/>
  <c r="D7"/>
  <c r="M6"/>
  <c r="L6"/>
  <c r="K6"/>
  <c r="J6"/>
  <c r="I6"/>
  <c r="M5"/>
  <c r="L5"/>
  <c r="K5"/>
  <c r="D9" l="1"/>
  <c r="J5"/>
  <c r="I5"/>
  <c r="E5"/>
  <c r="D5"/>
  <c r="A1"/>
  <c r="A2" i="49"/>
  <c r="A1"/>
  <c r="A1" i="50"/>
  <c r="A3" i="48"/>
  <c r="A2"/>
  <c r="A1"/>
  <c r="A1" i="3"/>
  <c r="H1257" i="45"/>
  <c r="H1256"/>
  <c r="H1255"/>
  <c r="H1254"/>
  <c r="H1253"/>
  <c r="H1252"/>
  <c r="H1251"/>
  <c r="H1250"/>
  <c r="H1249"/>
  <c r="H1248"/>
  <c r="H1247"/>
  <c r="H1246"/>
  <c r="H1245"/>
  <c r="H1244"/>
  <c r="H1243"/>
  <c r="H1242"/>
  <c r="H1241"/>
  <c r="H1240"/>
  <c r="H1239"/>
  <c r="H1238"/>
  <c r="H1237"/>
  <c r="H1236"/>
  <c r="H1235"/>
  <c r="H1234"/>
  <c r="H1233"/>
  <c r="H1232"/>
  <c r="H1231"/>
  <c r="H1230"/>
  <c r="H1229"/>
  <c r="H1228"/>
  <c r="H1227"/>
  <c r="H1226"/>
  <c r="H1225"/>
  <c r="H1224"/>
  <c r="H1223"/>
  <c r="H1222"/>
  <c r="H1221"/>
  <c r="H1220"/>
  <c r="H1219"/>
  <c r="H1218"/>
  <c r="H1217"/>
  <c r="H1216"/>
  <c r="H1215"/>
  <c r="H1214"/>
  <c r="H1213"/>
  <c r="H1212"/>
  <c r="H1211"/>
  <c r="H1210"/>
  <c r="H1209"/>
  <c r="H1208"/>
  <c r="H1207"/>
  <c r="H1206"/>
  <c r="H1205"/>
  <c r="H1204"/>
  <c r="H1203"/>
  <c r="H1202"/>
  <c r="H1201"/>
  <c r="H1200"/>
  <c r="H1199"/>
  <c r="H1198"/>
  <c r="H1197"/>
  <c r="H1196"/>
  <c r="H1195"/>
  <c r="H1194"/>
  <c r="H1193"/>
  <c r="H1192"/>
  <c r="H1191"/>
  <c r="H1190"/>
  <c r="H1189"/>
  <c r="H1188"/>
  <c r="H1187"/>
  <c r="H1186"/>
  <c r="H1185"/>
  <c r="H1184"/>
  <c r="H1183"/>
  <c r="H1182"/>
  <c r="H1181"/>
  <c r="H1180"/>
  <c r="H1179"/>
  <c r="H1178"/>
  <c r="H1177"/>
  <c r="H1176"/>
  <c r="H1175"/>
  <c r="H1174"/>
  <c r="H1173"/>
  <c r="H1172"/>
  <c r="H1171"/>
  <c r="H1170"/>
  <c r="H1169"/>
  <c r="H1168"/>
  <c r="H1167"/>
  <c r="H1166"/>
  <c r="H1165"/>
  <c r="H1164"/>
  <c r="H1163"/>
  <c r="H1162"/>
  <c r="H1161"/>
  <c r="H1160"/>
  <c r="H1159"/>
  <c r="H1158"/>
  <c r="H1157"/>
  <c r="H1156"/>
  <c r="H1155"/>
  <c r="H1154"/>
  <c r="H1153"/>
  <c r="H1152"/>
  <c r="H1151"/>
  <c r="H1150"/>
  <c r="H1149"/>
  <c r="H1148"/>
  <c r="H1147"/>
  <c r="H1146"/>
  <c r="H1145"/>
  <c r="H1144"/>
  <c r="H1143"/>
  <c r="H1142"/>
  <c r="H1141"/>
  <c r="H1140"/>
  <c r="H1139"/>
  <c r="H1138"/>
  <c r="H1137"/>
  <c r="H1136"/>
  <c r="H1135"/>
  <c r="H1134"/>
  <c r="H1133"/>
  <c r="H1132"/>
  <c r="H1131"/>
  <c r="H1130"/>
  <c r="H1129"/>
  <c r="H1128"/>
  <c r="H1127"/>
  <c r="H1126"/>
  <c r="H1125"/>
  <c r="H1124"/>
  <c r="H1123"/>
  <c r="H1122"/>
  <c r="H1121"/>
  <c r="H1120"/>
  <c r="H1119"/>
  <c r="H1118"/>
  <c r="H1117"/>
  <c r="H1116"/>
  <c r="H1115"/>
  <c r="H1114"/>
  <c r="H1113"/>
  <c r="H1112"/>
  <c r="H1111"/>
  <c r="H1110"/>
  <c r="H1109"/>
  <c r="H1108"/>
  <c r="H1107"/>
  <c r="E9" i="26" l="1"/>
  <c r="H6" s="1"/>
  <c r="H7"/>
  <c r="H5"/>
  <c r="H1106" i="45"/>
  <c r="H1105"/>
  <c r="H1104"/>
  <c r="H1103"/>
  <c r="H1102"/>
  <c r="H1101"/>
  <c r="H1100"/>
  <c r="H1099"/>
  <c r="H1098"/>
  <c r="H1097"/>
  <c r="H1096"/>
  <c r="H1095"/>
  <c r="H1094"/>
  <c r="H1093"/>
  <c r="H1092"/>
  <c r="H1091"/>
  <c r="H1090"/>
  <c r="H1089"/>
  <c r="H1088"/>
  <c r="H1087"/>
  <c r="H1086"/>
  <c r="H1085"/>
  <c r="H1084"/>
  <c r="H1083"/>
  <c r="H1082"/>
  <c r="H1081"/>
  <c r="H1080"/>
  <c r="H1079"/>
  <c r="H1078"/>
  <c r="H1077"/>
  <c r="H1076"/>
  <c r="H1075"/>
  <c r="H1074"/>
  <c r="H1073"/>
  <c r="H1072"/>
  <c r="H1071"/>
  <c r="H1070"/>
  <c r="H1069"/>
  <c r="H1068"/>
  <c r="H1067"/>
  <c r="H1066"/>
  <c r="H1065"/>
  <c r="H1064"/>
  <c r="H1063"/>
  <c r="H1062"/>
  <c r="H1061"/>
  <c r="H1060"/>
  <c r="H1059"/>
  <c r="H1058"/>
  <c r="H1057"/>
  <c r="H1056"/>
  <c r="H1055"/>
  <c r="H1054"/>
  <c r="H1053"/>
  <c r="H1052"/>
  <c r="H1051"/>
  <c r="H1050"/>
  <c r="H1049"/>
  <c r="H1048"/>
  <c r="H1047"/>
  <c r="H1046"/>
  <c r="H1045"/>
  <c r="H1044"/>
  <c r="H1043"/>
  <c r="H1042"/>
  <c r="H1041"/>
  <c r="H1040"/>
  <c r="H1039"/>
  <c r="H1038"/>
  <c r="H1037"/>
  <c r="H1036"/>
  <c r="H1035"/>
  <c r="H1034"/>
  <c r="H1033"/>
  <c r="H1032"/>
  <c r="H1031"/>
  <c r="H1030"/>
  <c r="H1029"/>
  <c r="H1028"/>
  <c r="H1027"/>
  <c r="H1026"/>
  <c r="H1025"/>
  <c r="H1024"/>
  <c r="H1023"/>
  <c r="H1022"/>
  <c r="H1021"/>
  <c r="H1020"/>
  <c r="H1019"/>
  <c r="H1018"/>
  <c r="H1017"/>
  <c r="H1016"/>
  <c r="H1015"/>
  <c r="H1014"/>
  <c r="H1013"/>
  <c r="H1012"/>
  <c r="H1011"/>
  <c r="H1010"/>
  <c r="H1009"/>
  <c r="H1008"/>
  <c r="H1007"/>
  <c r="H1006"/>
  <c r="H1005"/>
  <c r="H1004"/>
  <c r="H1003"/>
  <c r="H1002"/>
  <c r="H1001"/>
  <c r="H1000"/>
  <c r="H999"/>
  <c r="H998"/>
  <c r="H997"/>
  <c r="H996"/>
  <c r="H995"/>
  <c r="H994"/>
  <c r="H993"/>
  <c r="H992"/>
  <c r="H991"/>
  <c r="H990"/>
  <c r="H989"/>
  <c r="H988"/>
  <c r="H987"/>
  <c r="H986"/>
  <c r="H985"/>
  <c r="H984"/>
  <c r="H983"/>
  <c r="H982"/>
  <c r="H981"/>
  <c r="H980"/>
  <c r="H979"/>
  <c r="H978"/>
  <c r="H977"/>
  <c r="H976"/>
  <c r="H975"/>
  <c r="H974"/>
  <c r="H973"/>
  <c r="H972"/>
  <c r="H971"/>
  <c r="H970"/>
  <c r="H969"/>
  <c r="H968"/>
  <c r="H967"/>
  <c r="H966"/>
  <c r="H965"/>
  <c r="H964"/>
  <c r="H963"/>
  <c r="H962"/>
  <c r="H961"/>
  <c r="H960"/>
  <c r="H959"/>
  <c r="H958"/>
  <c r="H957"/>
  <c r="H956"/>
  <c r="H955"/>
  <c r="H954"/>
  <c r="H953"/>
  <c r="H952"/>
  <c r="H951"/>
  <c r="H950"/>
  <c r="H949"/>
  <c r="H948"/>
  <c r="H947"/>
  <c r="H946"/>
  <c r="H945"/>
  <c r="H944"/>
  <c r="H943"/>
  <c r="H942"/>
  <c r="H941"/>
  <c r="H940"/>
  <c r="H939"/>
  <c r="H938"/>
  <c r="H937"/>
  <c r="H936"/>
  <c r="H935"/>
  <c r="H934"/>
  <c r="H933"/>
  <c r="H932"/>
  <c r="H931"/>
  <c r="H930"/>
  <c r="H929"/>
  <c r="H928"/>
  <c r="H927"/>
  <c r="H926"/>
  <c r="H925"/>
  <c r="H924"/>
  <c r="H923"/>
  <c r="H922"/>
  <c r="H921"/>
  <c r="H920"/>
  <c r="H919"/>
  <c r="H918"/>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6"/>
  <c r="H785"/>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90"/>
  <c r="H689"/>
  <c r="H688"/>
  <c r="H687"/>
  <c r="H686"/>
  <c r="H685"/>
  <c r="H684"/>
  <c r="H683"/>
  <c r="H682"/>
  <c r="H681"/>
  <c r="H680"/>
  <c r="H679" l="1"/>
  <c r="H678"/>
  <c r="H677" l="1"/>
  <c r="H676"/>
  <c r="H675"/>
  <c r="H674"/>
  <c r="H673"/>
  <c r="H672"/>
  <c r="H671"/>
  <c r="H670"/>
  <c r="H669"/>
  <c r="H668"/>
  <c r="H667"/>
  <c r="H666"/>
  <c r="H665"/>
  <c r="H664"/>
  <c r="H663"/>
  <c r="H662"/>
  <c r="H661"/>
  <c r="H660"/>
  <c r="H659"/>
  <c r="H658"/>
  <c r="H657"/>
  <c r="H656"/>
  <c r="H655"/>
  <c r="H654"/>
  <c r="H653"/>
  <c r="H652"/>
  <c r="H651"/>
  <c r="H650"/>
  <c r="H649"/>
  <c r="H648"/>
  <c r="H647"/>
  <c r="H646"/>
  <c r="H645"/>
  <c r="H644"/>
  <c r="H643"/>
  <c r="H642"/>
  <c r="H641"/>
  <c r="H640"/>
  <c r="H639"/>
  <c r="H638"/>
  <c r="H637"/>
  <c r="H636"/>
  <c r="H635"/>
  <c r="H634"/>
  <c r="H633"/>
  <c r="H632"/>
  <c r="H631"/>
  <c r="H630"/>
  <c r="H629"/>
  <c r="H628"/>
  <c r="H627"/>
  <c r="H626"/>
  <c r="H625"/>
  <c r="H624"/>
  <c r="H623"/>
  <c r="H622"/>
  <c r="H621"/>
  <c r="H620"/>
  <c r="H619"/>
  <c r="H618"/>
  <c r="H617"/>
  <c r="H616"/>
  <c r="H615"/>
  <c r="H614"/>
  <c r="H613"/>
  <c r="H612"/>
  <c r="H611"/>
  <c r="H610"/>
  <c r="H609"/>
  <c r="H608"/>
  <c r="H607"/>
  <c r="H606"/>
  <c r="H605"/>
  <c r="H604"/>
  <c r="H603"/>
  <c r="H602"/>
  <c r="H601"/>
  <c r="H600"/>
  <c r="H599"/>
  <c r="H598"/>
  <c r="H597"/>
  <c r="H596"/>
  <c r="H595"/>
  <c r="H594"/>
  <c r="H593"/>
  <c r="H592"/>
  <c r="H591"/>
  <c r="H590"/>
  <c r="H589"/>
  <c r="H588"/>
  <c r="H587"/>
  <c r="H586"/>
  <c r="H585"/>
  <c r="H584"/>
  <c r="H583"/>
  <c r="H582"/>
  <c r="H581"/>
  <c r="H580"/>
  <c r="H579"/>
  <c r="H578"/>
  <c r="H577"/>
  <c r="H576"/>
  <c r="H575"/>
  <c r="H574"/>
  <c r="H573"/>
  <c r="H572"/>
  <c r="H571"/>
  <c r="H570"/>
  <c r="H569"/>
  <c r="H568"/>
  <c r="H567"/>
  <c r="H566"/>
  <c r="H565"/>
  <c r="H564"/>
  <c r="H563"/>
  <c r="H562"/>
  <c r="H561"/>
  <c r="H560"/>
  <c r="H559"/>
  <c r="H558"/>
  <c r="H557"/>
  <c r="H556"/>
  <c r="H555"/>
  <c r="H554"/>
  <c r="H553"/>
  <c r="H552"/>
  <c r="H551"/>
  <c r="H550"/>
  <c r="H549"/>
  <c r="H548"/>
  <c r="H547"/>
  <c r="H546"/>
  <c r="H545"/>
  <c r="H544"/>
  <c r="H543"/>
  <c r="H542"/>
  <c r="H541"/>
  <c r="H540"/>
  <c r="H539"/>
  <c r="H538"/>
  <c r="H537"/>
  <c r="H536"/>
  <c r="H535"/>
  <c r="H534"/>
  <c r="H533"/>
  <c r="H532"/>
  <c r="H531"/>
  <c r="H530"/>
  <c r="H529"/>
  <c r="H528"/>
  <c r="H527"/>
  <c r="H526"/>
  <c r="H525"/>
  <c r="H524"/>
  <c r="H523"/>
  <c r="H522"/>
  <c r="H521"/>
  <c r="H520"/>
  <c r="H519"/>
  <c r="H518"/>
  <c r="H517"/>
  <c r="H516"/>
  <c r="H515"/>
  <c r="H514"/>
  <c r="H513"/>
  <c r="H512"/>
  <c r="H511"/>
  <c r="H510"/>
  <c r="H509"/>
  <c r="H508"/>
  <c r="H507"/>
  <c r="H506"/>
  <c r="H505"/>
  <c r="H504"/>
  <c r="H503"/>
  <c r="H502"/>
  <c r="H501"/>
  <c r="H500"/>
  <c r="H499"/>
  <c r="H498"/>
  <c r="H497"/>
  <c r="H496"/>
  <c r="H495"/>
  <c r="H494"/>
  <c r="H493"/>
  <c r="H492"/>
  <c r="H491"/>
  <c r="H490"/>
  <c r="H489"/>
  <c r="H488"/>
  <c r="H487"/>
  <c r="H486"/>
  <c r="H485"/>
  <c r="H484"/>
  <c r="H483"/>
  <c r="H482"/>
  <c r="H481"/>
  <c r="H480"/>
  <c r="H479"/>
  <c r="H478"/>
  <c r="H477"/>
  <c r="H476"/>
  <c r="H475"/>
  <c r="H474"/>
  <c r="H473"/>
  <c r="H472"/>
  <c r="H471"/>
  <c r="H470"/>
  <c r="H469"/>
  <c r="H468"/>
  <c r="H467"/>
  <c r="H466"/>
  <c r="H465"/>
  <c r="H464"/>
  <c r="H463"/>
  <c r="H462"/>
  <c r="H461"/>
  <c r="H460"/>
  <c r="H459"/>
  <c r="H458"/>
  <c r="H457"/>
  <c r="H456"/>
  <c r="H455"/>
  <c r="H454"/>
  <c r="H453"/>
  <c r="H452"/>
  <c r="H451"/>
  <c r="H450"/>
  <c r="H449"/>
  <c r="H448"/>
  <c r="H447"/>
  <c r="H446"/>
  <c r="H445"/>
  <c r="H444"/>
  <c r="H443"/>
  <c r="H442"/>
  <c r="H441" l="1"/>
  <c r="H440"/>
  <c r="H439"/>
  <c r="H437"/>
  <c r="H436"/>
  <c r="H435"/>
  <c r="H434"/>
  <c r="H433"/>
  <c r="H432"/>
  <c r="H431"/>
  <c r="H430"/>
  <c r="H429"/>
  <c r="H428"/>
  <c r="H427"/>
  <c r="H426"/>
  <c r="H425"/>
  <c r="H424"/>
  <c r="H423"/>
  <c r="H422"/>
  <c r="H421"/>
  <c r="H420"/>
  <c r="H419"/>
  <c r="H418"/>
  <c r="H417"/>
  <c r="H416"/>
  <c r="H415"/>
  <c r="H414"/>
  <c r="H413"/>
  <c r="H412"/>
  <c r="H411"/>
  <c r="H410"/>
  <c r="H409"/>
  <c r="H408"/>
  <c r="H407"/>
  <c r="H406"/>
  <c r="H405"/>
  <c r="H404"/>
  <c r="H403"/>
  <c r="H402"/>
  <c r="H401"/>
  <c r="H400"/>
  <c r="H399"/>
  <c r="H398"/>
  <c r="H397"/>
  <c r="H396"/>
  <c r="H395"/>
  <c r="H394"/>
  <c r="H393"/>
  <c r="H392"/>
  <c r="H391"/>
  <c r="H390"/>
  <c r="H389"/>
  <c r="H388"/>
  <c r="H387"/>
  <c r="H386"/>
  <c r="H385"/>
  <c r="H384"/>
  <c r="H383"/>
  <c r="H382"/>
  <c r="H381"/>
  <c r="H380"/>
  <c r="H379"/>
  <c r="H378"/>
  <c r="H377"/>
  <c r="H376"/>
  <c r="H375"/>
  <c r="H374"/>
  <c r="H373"/>
  <c r="H372"/>
  <c r="H371"/>
  <c r="H370"/>
  <c r="H369"/>
  <c r="H368"/>
  <c r="H367"/>
  <c r="H366"/>
  <c r="H365"/>
  <c r="H364"/>
  <c r="H363"/>
  <c r="H362"/>
  <c r="H361"/>
  <c r="H360"/>
  <c r="H359"/>
  <c r="H358"/>
  <c r="H357"/>
  <c r="H356"/>
  <c r="H355"/>
  <c r="H354"/>
  <c r="H353"/>
  <c r="H352"/>
  <c r="H351"/>
  <c r="H350"/>
  <c r="H347"/>
  <c r="H346"/>
  <c r="H345"/>
  <c r="H344"/>
  <c r="H343"/>
  <c r="H342"/>
  <c r="H341"/>
  <c r="H340"/>
  <c r="H339"/>
  <c r="H338"/>
  <c r="H337"/>
  <c r="H336"/>
  <c r="H335"/>
  <c r="H334"/>
  <c r="H333"/>
  <c r="H332"/>
  <c r="H331"/>
  <c r="H330"/>
  <c r="H329"/>
  <c r="H328"/>
  <c r="H327"/>
  <c r="H326"/>
  <c r="H325"/>
  <c r="H324"/>
  <c r="H323"/>
  <c r="H322"/>
  <c r="H321"/>
  <c r="H320"/>
  <c r="H319"/>
  <c r="H318"/>
  <c r="H317"/>
  <c r="H316"/>
  <c r="H315"/>
  <c r="H314"/>
  <c r="H313"/>
  <c r="H312"/>
  <c r="H311"/>
  <c r="H310"/>
  <c r="H309"/>
  <c r="H308"/>
  <c r="H307"/>
  <c r="H306"/>
  <c r="H305"/>
  <c r="H304"/>
  <c r="H303"/>
  <c r="H302"/>
  <c r="H301"/>
  <c r="H300"/>
  <c r="H299"/>
  <c r="H298"/>
  <c r="H297"/>
  <c r="H29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4"/>
  <c r="H253"/>
  <c r="H252"/>
  <c r="H251" l="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A3"/>
  <c r="A2"/>
  <c r="A1"/>
  <c r="I1320" i="4"/>
  <c r="I1319"/>
  <c r="I1318"/>
  <c r="I1317"/>
  <c r="I1316"/>
  <c r="I1315"/>
  <c r="I1314"/>
  <c r="I1313"/>
  <c r="I1312"/>
  <c r="I1311"/>
  <c r="I1310"/>
  <c r="I1309"/>
  <c r="I1308"/>
  <c r="I1307"/>
  <c r="I1306"/>
  <c r="I1305"/>
  <c r="I1304"/>
  <c r="I1303"/>
  <c r="I1302"/>
  <c r="I1301"/>
  <c r="I1300"/>
  <c r="I1299"/>
  <c r="I1298"/>
  <c r="I1297"/>
  <c r="I1296"/>
  <c r="I1295"/>
  <c r="I1294"/>
  <c r="I1293"/>
  <c r="I1292"/>
  <c r="I1291"/>
  <c r="I1290"/>
  <c r="I1289"/>
  <c r="I1288"/>
  <c r="I1287"/>
  <c r="I1286"/>
  <c r="I1285"/>
  <c r="I1284"/>
  <c r="I1283"/>
  <c r="I1282"/>
  <c r="I1281"/>
  <c r="I1280"/>
  <c r="I1279"/>
  <c r="I1278"/>
  <c r="I1277"/>
  <c r="I1276"/>
  <c r="I1275"/>
  <c r="I1274"/>
  <c r="I1273"/>
  <c r="I1272"/>
  <c r="I1271"/>
  <c r="I1270"/>
  <c r="I1269"/>
  <c r="I1268"/>
  <c r="I1267"/>
  <c r="I1266"/>
  <c r="I1265"/>
  <c r="I1264"/>
  <c r="I1263"/>
  <c r="I1262"/>
  <c r="I1261"/>
  <c r="I1260"/>
  <c r="I1259"/>
  <c r="I1258"/>
  <c r="I1257"/>
  <c r="I1256"/>
  <c r="J7" i="58" l="1"/>
  <c r="J8"/>
  <c r="G6" i="52"/>
  <c r="F6"/>
  <c r="F7" i="35"/>
  <c r="F6"/>
  <c r="G7" i="6"/>
  <c r="G8"/>
  <c r="F7"/>
  <c r="F8"/>
  <c r="F7" i="18"/>
  <c r="F6" s="1"/>
  <c r="E6" i="53"/>
  <c r="E7"/>
  <c r="I1255" i="4"/>
  <c r="I1254"/>
  <c r="I1253"/>
  <c r="I1252"/>
  <c r="I1251"/>
  <c r="I1250"/>
  <c r="I1249"/>
  <c r="I1248"/>
  <c r="I1247"/>
  <c r="I1246"/>
  <c r="I1245"/>
  <c r="I1244"/>
  <c r="I1243"/>
  <c r="I1242"/>
  <c r="I1241"/>
  <c r="I1240"/>
  <c r="I1239"/>
  <c r="I1238"/>
  <c r="I1237"/>
  <c r="I1236"/>
  <c r="I1235"/>
  <c r="I1234"/>
  <c r="I1233"/>
  <c r="I1232"/>
  <c r="I1231"/>
  <c r="I1230"/>
  <c r="I1229"/>
  <c r="I1228"/>
  <c r="I1227"/>
  <c r="I1226"/>
  <c r="I1225"/>
  <c r="I1224"/>
  <c r="I1223"/>
  <c r="I1222"/>
  <c r="I1221"/>
  <c r="I1220"/>
  <c r="I1219"/>
  <c r="I1218"/>
  <c r="I1217"/>
  <c r="I1216"/>
  <c r="I1215"/>
  <c r="I1214"/>
  <c r="I1213"/>
  <c r="I1212"/>
  <c r="I1211"/>
  <c r="I1210"/>
  <c r="I1209"/>
  <c r="I1208"/>
  <c r="I1207"/>
  <c r="I1206"/>
  <c r="I1205"/>
  <c r="I1204"/>
  <c r="I1203"/>
  <c r="I1202"/>
  <c r="I1201"/>
  <c r="I1200"/>
  <c r="I1199"/>
  <c r="I1198"/>
  <c r="I1197"/>
  <c r="I1196"/>
  <c r="I1195"/>
  <c r="I1194"/>
  <c r="I1193"/>
  <c r="I1192"/>
  <c r="I1191"/>
  <c r="I1190"/>
  <c r="I1189"/>
  <c r="I1188"/>
  <c r="I1187"/>
  <c r="I1186"/>
  <c r="I1185"/>
  <c r="I1184"/>
  <c r="I1183"/>
  <c r="I1182"/>
  <c r="I1181"/>
  <c r="I1180"/>
  <c r="I1179"/>
  <c r="I1178"/>
  <c r="I1177"/>
  <c r="I1176"/>
  <c r="I1175"/>
  <c r="I1174"/>
  <c r="I1173"/>
  <c r="I1172"/>
  <c r="I1171"/>
  <c r="I1170"/>
  <c r="I1169"/>
  <c r="I1168"/>
  <c r="I1167"/>
  <c r="I1166"/>
  <c r="I1165"/>
  <c r="I1164"/>
  <c r="I1163"/>
  <c r="I1162"/>
  <c r="I1161"/>
  <c r="I1160"/>
  <c r="I1159"/>
  <c r="I1158"/>
  <c r="I1157"/>
  <c r="I1156"/>
  <c r="I1155"/>
  <c r="I1154"/>
  <c r="I1153"/>
  <c r="I1152"/>
  <c r="I1151"/>
  <c r="I1150"/>
  <c r="I1149"/>
  <c r="I1148"/>
  <c r="I1147"/>
  <c r="I1146"/>
  <c r="I1145"/>
  <c r="I1144"/>
  <c r="I1143"/>
  <c r="I1142"/>
  <c r="I1141"/>
  <c r="I1140"/>
  <c r="I1139"/>
  <c r="I1138"/>
  <c r="I1137"/>
  <c r="I1136"/>
  <c r="I1135"/>
  <c r="I1134"/>
  <c r="I1133"/>
  <c r="I1132"/>
  <c r="I1131"/>
  <c r="I1130"/>
  <c r="I1129"/>
  <c r="I1128"/>
  <c r="I1127"/>
  <c r="I1126"/>
  <c r="I1125"/>
  <c r="I1124"/>
  <c r="I1123"/>
  <c r="I1122"/>
  <c r="I1121"/>
  <c r="I1120"/>
  <c r="I1119"/>
  <c r="I1118"/>
  <c r="I1117"/>
  <c r="I1116"/>
  <c r="I1115"/>
  <c r="I1114"/>
  <c r="I1113"/>
  <c r="I1112"/>
  <c r="I1111"/>
  <c r="I1110"/>
  <c r="I1109"/>
  <c r="I1108"/>
  <c r="I1107"/>
  <c r="I1106"/>
  <c r="I1105"/>
  <c r="I1104"/>
  <c r="I1103"/>
  <c r="I1102"/>
  <c r="I1101"/>
  <c r="I1100"/>
  <c r="I1099"/>
  <c r="I1098"/>
  <c r="I1097"/>
  <c r="I1096"/>
  <c r="I1095"/>
  <c r="I1094"/>
  <c r="I1093"/>
  <c r="I1092"/>
  <c r="I1091"/>
  <c r="I1090"/>
  <c r="I1089"/>
  <c r="I1088"/>
  <c r="I1087"/>
  <c r="I1086"/>
  <c r="I1085"/>
  <c r="I1084"/>
  <c r="I1083"/>
  <c r="I1082"/>
  <c r="I1081"/>
  <c r="I1080"/>
  <c r="I1079"/>
  <c r="I1078"/>
  <c r="I1077"/>
  <c r="I1076"/>
  <c r="I1075"/>
  <c r="I1074"/>
  <c r="I1073"/>
  <c r="I1072"/>
  <c r="I1071"/>
  <c r="I1070"/>
  <c r="I1069"/>
  <c r="I1068"/>
  <c r="I1067"/>
  <c r="I1066"/>
  <c r="I1065"/>
  <c r="I1064"/>
  <c r="I1063"/>
  <c r="I1062"/>
  <c r="I1061"/>
  <c r="I1060"/>
  <c r="I1059"/>
  <c r="I1058"/>
  <c r="I1057"/>
  <c r="I1056"/>
  <c r="I1055"/>
  <c r="I1054"/>
  <c r="I1053"/>
  <c r="I1052"/>
  <c r="I1051"/>
  <c r="I1050"/>
  <c r="I1049"/>
  <c r="I1048"/>
  <c r="I1047"/>
  <c r="I1046"/>
  <c r="I1045"/>
  <c r="I1044"/>
  <c r="I1043"/>
  <c r="I1042"/>
  <c r="I1041"/>
  <c r="I1040"/>
  <c r="I1039"/>
  <c r="I1038"/>
  <c r="I1037"/>
  <c r="I1036"/>
  <c r="I1035"/>
  <c r="I1034"/>
  <c r="I1033"/>
  <c r="I1032"/>
  <c r="I1031"/>
  <c r="I1030"/>
  <c r="I1029"/>
  <c r="I1028"/>
  <c r="I1027"/>
  <c r="I1026"/>
  <c r="I1025"/>
  <c r="I1024"/>
  <c r="I1023"/>
  <c r="I1022"/>
  <c r="I1021"/>
  <c r="I1020"/>
  <c r="I1019"/>
  <c r="I1018"/>
  <c r="I1017"/>
  <c r="I1016"/>
  <c r="I1015"/>
  <c r="I1014"/>
  <c r="I1013"/>
  <c r="I1012"/>
  <c r="I1011"/>
  <c r="I1010"/>
  <c r="I1009"/>
  <c r="I1008"/>
  <c r="I1007"/>
  <c r="I1006"/>
  <c r="I1005"/>
  <c r="I1004"/>
  <c r="I1003"/>
  <c r="I1002"/>
  <c r="I1001"/>
  <c r="I1000"/>
  <c r="I999"/>
  <c r="I998"/>
  <c r="I997"/>
  <c r="I996"/>
  <c r="I995"/>
  <c r="I994"/>
  <c r="I993"/>
  <c r="I992"/>
  <c r="I991"/>
  <c r="I990"/>
  <c r="I989"/>
  <c r="I988"/>
  <c r="I987"/>
  <c r="I986"/>
  <c r="I985"/>
  <c r="I984"/>
  <c r="I983"/>
  <c r="I982"/>
  <c r="I981"/>
  <c r="I980"/>
  <c r="I979"/>
  <c r="I978"/>
  <c r="I977"/>
  <c r="I976"/>
  <c r="I975"/>
  <c r="I974"/>
  <c r="I973"/>
  <c r="I972"/>
  <c r="I971"/>
  <c r="I970"/>
  <c r="I969"/>
  <c r="I968"/>
  <c r="I967"/>
  <c r="I966"/>
  <c r="I965"/>
  <c r="I964"/>
  <c r="I963"/>
  <c r="I962"/>
  <c r="I961"/>
  <c r="I960"/>
  <c r="I959"/>
  <c r="I958"/>
  <c r="I957"/>
  <c r="I956"/>
  <c r="I955"/>
  <c r="I954"/>
  <c r="I953"/>
  <c r="I952"/>
  <c r="I951"/>
  <c r="I950"/>
  <c r="I949"/>
  <c r="I948"/>
  <c r="I947"/>
  <c r="I946"/>
  <c r="I945"/>
  <c r="I944"/>
  <c r="I943"/>
  <c r="I942"/>
  <c r="I941"/>
  <c r="I940"/>
  <c r="I939"/>
  <c r="I938"/>
  <c r="I937"/>
  <c r="I936"/>
  <c r="I935"/>
  <c r="I934"/>
  <c r="I933"/>
  <c r="I932"/>
  <c r="I931"/>
  <c r="I930"/>
  <c r="I929"/>
  <c r="I928"/>
  <c r="I927"/>
  <c r="I926"/>
  <c r="I925"/>
  <c r="I924"/>
  <c r="I923"/>
  <c r="I922"/>
  <c r="I921"/>
  <c r="I920"/>
  <c r="I919"/>
  <c r="I918"/>
  <c r="I917"/>
  <c r="I916"/>
  <c r="I915"/>
  <c r="I914"/>
  <c r="I913"/>
  <c r="I912"/>
  <c r="I911"/>
  <c r="I910"/>
  <c r="I909"/>
  <c r="I908"/>
  <c r="I907"/>
  <c r="I906"/>
  <c r="I905"/>
  <c r="I904"/>
  <c r="I903"/>
  <c r="I902"/>
  <c r="I901"/>
  <c r="I900"/>
  <c r="I899"/>
  <c r="I898"/>
  <c r="I897"/>
  <c r="I896"/>
  <c r="I895"/>
  <c r="I894"/>
  <c r="I893"/>
  <c r="I892"/>
  <c r="I891"/>
  <c r="I890"/>
  <c r="I889"/>
  <c r="I888"/>
  <c r="I887"/>
  <c r="I886"/>
  <c r="I885"/>
  <c r="I884"/>
  <c r="I883"/>
  <c r="I882"/>
  <c r="I881"/>
  <c r="I880"/>
  <c r="I879"/>
  <c r="I878"/>
  <c r="I877"/>
  <c r="I876"/>
  <c r="I875"/>
  <c r="I874"/>
  <c r="I873"/>
  <c r="I872"/>
  <c r="I871"/>
  <c r="I870"/>
  <c r="I869"/>
  <c r="I868"/>
  <c r="I867"/>
  <c r="I866"/>
  <c r="I865"/>
  <c r="I864"/>
  <c r="I863"/>
  <c r="I862"/>
  <c r="I861"/>
  <c r="I860"/>
  <c r="I859"/>
  <c r="I858"/>
  <c r="I857"/>
  <c r="I856"/>
  <c r="I855"/>
  <c r="I854"/>
  <c r="I853"/>
  <c r="I852"/>
  <c r="I851"/>
  <c r="I850"/>
  <c r="I849"/>
  <c r="I848"/>
  <c r="I847"/>
  <c r="I846"/>
  <c r="I845"/>
  <c r="I844"/>
  <c r="I843"/>
  <c r="I842"/>
  <c r="I841"/>
  <c r="I840"/>
  <c r="I839"/>
  <c r="I838"/>
  <c r="I837"/>
  <c r="I836"/>
  <c r="I835"/>
  <c r="I834"/>
  <c r="I833"/>
  <c r="I832"/>
  <c r="I831"/>
  <c r="I830"/>
  <c r="I829"/>
  <c r="I828"/>
  <c r="I827"/>
  <c r="I826"/>
  <c r="I825"/>
  <c r="I824"/>
  <c r="I823"/>
  <c r="I822"/>
  <c r="I821"/>
  <c r="I820"/>
  <c r="I819"/>
  <c r="I818"/>
  <c r="I817"/>
  <c r="I816"/>
  <c r="I815"/>
  <c r="I814"/>
  <c r="I813"/>
  <c r="I812"/>
  <c r="I811"/>
  <c r="I810"/>
  <c r="I809"/>
  <c r="I808"/>
  <c r="I807"/>
  <c r="I806"/>
  <c r="I805"/>
  <c r="I804"/>
  <c r="I803"/>
  <c r="I802"/>
  <c r="I801"/>
  <c r="I800"/>
  <c r="I799"/>
  <c r="I798"/>
  <c r="I797"/>
  <c r="I796"/>
  <c r="I795"/>
  <c r="I794"/>
  <c r="I793"/>
  <c r="I792"/>
  <c r="I791"/>
  <c r="I790"/>
  <c r="I789"/>
  <c r="I788"/>
  <c r="I787"/>
  <c r="I786"/>
  <c r="I785"/>
  <c r="I784"/>
  <c r="I783"/>
  <c r="I782"/>
  <c r="I781"/>
  <c r="I780"/>
  <c r="I779"/>
  <c r="I778"/>
  <c r="I777"/>
  <c r="I776"/>
  <c r="I775"/>
  <c r="I774"/>
  <c r="I773"/>
  <c r="I772"/>
  <c r="I771"/>
  <c r="I770"/>
  <c r="I769"/>
  <c r="I768"/>
  <c r="I767"/>
  <c r="I766"/>
  <c r="I765"/>
  <c r="I764"/>
  <c r="I763"/>
  <c r="I762"/>
  <c r="I761"/>
  <c r="I760"/>
  <c r="I759"/>
  <c r="I758"/>
  <c r="I757"/>
  <c r="I756"/>
  <c r="I755"/>
  <c r="I754"/>
  <c r="I753"/>
  <c r="I752"/>
  <c r="I751"/>
  <c r="I750"/>
  <c r="I749"/>
  <c r="I748"/>
  <c r="I747"/>
  <c r="I746"/>
  <c r="I745"/>
  <c r="I744"/>
  <c r="I743"/>
  <c r="I742"/>
  <c r="I741"/>
  <c r="I740"/>
  <c r="I739"/>
  <c r="I738"/>
  <c r="I737"/>
  <c r="I736"/>
  <c r="I735"/>
  <c r="I734"/>
  <c r="I733"/>
  <c r="I732"/>
  <c r="I731"/>
  <c r="I730"/>
  <c r="I729"/>
  <c r="I728"/>
  <c r="I727"/>
  <c r="I726"/>
  <c r="I725"/>
  <c r="I724" l="1"/>
  <c r="I723"/>
  <c r="I722"/>
  <c r="I721"/>
  <c r="I720"/>
  <c r="I719"/>
  <c r="I718"/>
  <c r="I717"/>
  <c r="I716" l="1"/>
  <c r="I715"/>
  <c r="I714"/>
  <c r="I713"/>
  <c r="I712"/>
  <c r="I711"/>
  <c r="I710"/>
  <c r="I709"/>
  <c r="I708"/>
  <c r="I707"/>
  <c r="I706"/>
  <c r="I705"/>
  <c r="I704"/>
  <c r="I703"/>
  <c r="I702"/>
  <c r="I701"/>
  <c r="I700"/>
  <c r="I699"/>
  <c r="I698"/>
  <c r="I697"/>
  <c r="I696"/>
  <c r="I695"/>
  <c r="I694"/>
  <c r="I693"/>
  <c r="I692"/>
  <c r="I691"/>
  <c r="I690"/>
  <c r="I689"/>
  <c r="I688"/>
  <c r="I687"/>
  <c r="I686"/>
  <c r="I685"/>
  <c r="I684"/>
  <c r="I683"/>
  <c r="I682"/>
  <c r="I681"/>
  <c r="I680"/>
  <c r="I679"/>
  <c r="I678"/>
  <c r="I677"/>
  <c r="I676"/>
  <c r="I675"/>
  <c r="I674"/>
  <c r="I673"/>
  <c r="I672"/>
  <c r="I671"/>
  <c r="I670"/>
  <c r="I669"/>
  <c r="I668"/>
  <c r="I667"/>
  <c r="I666"/>
  <c r="I665"/>
  <c r="I664"/>
  <c r="I663"/>
  <c r="I662"/>
  <c r="I661"/>
  <c r="I660"/>
  <c r="I659"/>
  <c r="I658"/>
  <c r="I657"/>
  <c r="I656"/>
  <c r="I655"/>
  <c r="I654"/>
  <c r="I653"/>
  <c r="I652"/>
  <c r="I651"/>
  <c r="I650"/>
  <c r="I649"/>
  <c r="I648"/>
  <c r="I647"/>
  <c r="I646"/>
  <c r="I645"/>
  <c r="I644"/>
  <c r="I643"/>
  <c r="I642"/>
  <c r="I641"/>
  <c r="I640"/>
  <c r="I639"/>
  <c r="I638"/>
  <c r="I637"/>
  <c r="I636"/>
  <c r="I635"/>
  <c r="I634"/>
  <c r="I633"/>
  <c r="I632"/>
  <c r="I631"/>
  <c r="I630"/>
  <c r="I629"/>
  <c r="I628"/>
  <c r="I627"/>
  <c r="I626"/>
  <c r="I625"/>
  <c r="I624"/>
  <c r="I623"/>
  <c r="I622"/>
  <c r="I621"/>
  <c r="I620"/>
  <c r="I619"/>
  <c r="I618"/>
  <c r="I617"/>
  <c r="I616"/>
  <c r="I615"/>
  <c r="I614"/>
  <c r="I613"/>
  <c r="I612"/>
  <c r="I611"/>
  <c r="I610"/>
  <c r="I609"/>
  <c r="I608"/>
  <c r="I607"/>
  <c r="I606"/>
  <c r="I605"/>
  <c r="I604"/>
  <c r="I603"/>
  <c r="I602"/>
  <c r="I601"/>
  <c r="I600"/>
  <c r="I599"/>
  <c r="I598"/>
  <c r="I597"/>
  <c r="I596"/>
  <c r="I595"/>
  <c r="I594"/>
  <c r="I593"/>
  <c r="I592"/>
  <c r="I591"/>
  <c r="I590"/>
  <c r="I589"/>
  <c r="I588"/>
  <c r="I587"/>
  <c r="I586"/>
  <c r="I585"/>
  <c r="I584"/>
  <c r="I583"/>
  <c r="I582"/>
  <c r="I581"/>
  <c r="I580"/>
  <c r="I579"/>
  <c r="I578"/>
  <c r="I577"/>
  <c r="I576"/>
  <c r="I575"/>
  <c r="I574"/>
  <c r="I573"/>
  <c r="I572"/>
  <c r="I571"/>
  <c r="I570"/>
  <c r="I569"/>
  <c r="I568"/>
  <c r="I567"/>
  <c r="I566"/>
  <c r="I565"/>
  <c r="I564"/>
  <c r="I563"/>
  <c r="I562"/>
  <c r="I561"/>
  <c r="I560"/>
  <c r="I559"/>
  <c r="I558"/>
  <c r="I557"/>
  <c r="I556"/>
  <c r="I555"/>
  <c r="I554"/>
  <c r="I553"/>
  <c r="I552"/>
  <c r="I551"/>
  <c r="I550"/>
  <c r="I549"/>
  <c r="I548"/>
  <c r="I547"/>
  <c r="I546"/>
  <c r="I545"/>
  <c r="I544"/>
  <c r="I543"/>
  <c r="I542"/>
  <c r="I541"/>
  <c r="I540"/>
  <c r="I539"/>
  <c r="I538"/>
  <c r="I537"/>
  <c r="I536"/>
  <c r="I535"/>
  <c r="I534"/>
  <c r="I533"/>
  <c r="I532"/>
  <c r="I531"/>
  <c r="I530"/>
  <c r="I529"/>
  <c r="I528"/>
  <c r="I527"/>
  <c r="I526"/>
  <c r="I525"/>
  <c r="I524"/>
  <c r="I523"/>
  <c r="I522"/>
  <c r="I521"/>
  <c r="I520"/>
  <c r="I519"/>
  <c r="I518"/>
  <c r="I517"/>
  <c r="I516"/>
  <c r="I515"/>
  <c r="I514"/>
  <c r="I513"/>
  <c r="I512"/>
  <c r="I511"/>
  <c r="I510"/>
  <c r="I509"/>
  <c r="I508"/>
  <c r="I507"/>
  <c r="I506"/>
  <c r="I505"/>
  <c r="I504"/>
  <c r="I503"/>
  <c r="I502"/>
  <c r="I501"/>
  <c r="I500"/>
  <c r="I499"/>
  <c r="I498"/>
  <c r="I497"/>
  <c r="I496"/>
  <c r="I495"/>
  <c r="I494"/>
  <c r="I493"/>
  <c r="I492"/>
  <c r="I491"/>
  <c r="I490"/>
  <c r="I489"/>
  <c r="I488"/>
  <c r="I487"/>
  <c r="I486"/>
  <c r="I485"/>
  <c r="I484"/>
  <c r="I483"/>
  <c r="I482"/>
  <c r="I481"/>
  <c r="I480"/>
  <c r="I479"/>
  <c r="I478"/>
  <c r="I477"/>
  <c r="I476"/>
  <c r="I475"/>
  <c r="I474"/>
  <c r="I473"/>
  <c r="I472"/>
  <c r="I471"/>
  <c r="I470"/>
  <c r="I469"/>
  <c r="I468"/>
  <c r="I467"/>
  <c r="I466"/>
  <c r="I465"/>
  <c r="I464"/>
  <c r="I463"/>
  <c r="I462"/>
  <c r="I461"/>
  <c r="I460"/>
  <c r="I459"/>
  <c r="I458"/>
  <c r="I457"/>
  <c r="I456"/>
  <c r="I455"/>
  <c r="I454"/>
  <c r="I453"/>
  <c r="I452"/>
  <c r="I451"/>
  <c r="I450"/>
  <c r="I449"/>
  <c r="I448"/>
  <c r="I447"/>
  <c r="I446"/>
  <c r="I445"/>
  <c r="I444"/>
  <c r="I443"/>
  <c r="I442"/>
  <c r="I441"/>
  <c r="I440"/>
  <c r="I439"/>
  <c r="I438"/>
  <c r="I437"/>
  <c r="I436"/>
  <c r="I435"/>
  <c r="I434"/>
  <c r="I433"/>
  <c r="I432"/>
  <c r="I431"/>
  <c r="I430"/>
  <c r="I429"/>
  <c r="I428"/>
  <c r="I427"/>
  <c r="I426"/>
  <c r="I425"/>
  <c r="I424"/>
  <c r="I423"/>
  <c r="I422"/>
  <c r="I421"/>
  <c r="I420"/>
  <c r="I419"/>
  <c r="I418"/>
  <c r="I417"/>
  <c r="I416"/>
  <c r="I415"/>
  <c r="I414"/>
  <c r="I413"/>
  <c r="I412"/>
  <c r="I411"/>
  <c r="I410"/>
  <c r="I409"/>
  <c r="I408"/>
  <c r="I407"/>
  <c r="I406"/>
  <c r="I405"/>
  <c r="I404"/>
  <c r="I403"/>
  <c r="I402"/>
  <c r="I401"/>
  <c r="I400"/>
  <c r="I399"/>
  <c r="I398"/>
  <c r="I397"/>
  <c r="I396"/>
  <c r="I395"/>
  <c r="I394"/>
  <c r="I393"/>
  <c r="I392"/>
  <c r="I391"/>
  <c r="I390"/>
  <c r="I389"/>
  <c r="I388"/>
  <c r="I387"/>
  <c r="I386"/>
  <c r="I385"/>
  <c r="I384"/>
  <c r="I383"/>
  <c r="I382"/>
  <c r="I381"/>
  <c r="I380"/>
  <c r="I379"/>
  <c r="I378"/>
  <c r="I377"/>
  <c r="I376"/>
  <c r="I375"/>
  <c r="I374"/>
  <c r="I373"/>
  <c r="I372"/>
  <c r="I371"/>
  <c r="I370"/>
  <c r="I369"/>
  <c r="I368"/>
  <c r="I367"/>
  <c r="I366"/>
  <c r="I365"/>
  <c r="I364"/>
  <c r="I363"/>
  <c r="I362"/>
  <c r="I361"/>
  <c r="I360"/>
  <c r="I359"/>
  <c r="I358"/>
  <c r="I357"/>
  <c r="I356"/>
  <c r="I355"/>
  <c r="I354"/>
  <c r="I353"/>
  <c r="I352"/>
  <c r="I351"/>
  <c r="I350"/>
  <c r="I349"/>
  <c r="I348"/>
  <c r="I347"/>
  <c r="I346"/>
  <c r="I345"/>
  <c r="I344"/>
  <c r="I343"/>
  <c r="I342"/>
  <c r="I341"/>
  <c r="I340"/>
  <c r="I339"/>
  <c r="I338"/>
  <c r="I337"/>
  <c r="I336"/>
  <c r="I335"/>
  <c r="I334"/>
  <c r="I333"/>
  <c r="I332"/>
  <c r="I331"/>
  <c r="I330"/>
  <c r="I329"/>
  <c r="I328"/>
  <c r="I327"/>
  <c r="I326"/>
  <c r="I325"/>
  <c r="I324"/>
  <c r="I323"/>
  <c r="I322"/>
  <c r="I321"/>
  <c r="I320"/>
  <c r="I319"/>
  <c r="I318"/>
  <c r="I317"/>
  <c r="I316"/>
  <c r="I315"/>
  <c r="I314"/>
  <c r="I313"/>
  <c r="I312"/>
  <c r="I311"/>
  <c r="I310"/>
  <c r="I309"/>
  <c r="I308"/>
  <c r="I307"/>
  <c r="I306"/>
  <c r="I305"/>
  <c r="I304"/>
  <c r="I303"/>
  <c r="I302"/>
  <c r="I301"/>
  <c r="I300"/>
  <c r="I299"/>
  <c r="I298"/>
  <c r="I297"/>
  <c r="I296"/>
  <c r="I295"/>
  <c r="I294"/>
  <c r="I293"/>
  <c r="I292"/>
  <c r="I291"/>
  <c r="I290"/>
  <c r="I289"/>
  <c r="I288"/>
  <c r="I287"/>
  <c r="I286"/>
  <c r="I285"/>
  <c r="I284"/>
  <c r="I283"/>
  <c r="I282"/>
  <c r="I281"/>
  <c r="I280"/>
  <c r="I279"/>
  <c r="I278"/>
  <c r="I277"/>
  <c r="I276"/>
  <c r="I275"/>
  <c r="I274"/>
  <c r="I273"/>
  <c r="I272"/>
  <c r="I271"/>
  <c r="I270"/>
  <c r="I269"/>
  <c r="I268"/>
  <c r="I267"/>
  <c r="I266"/>
  <c r="I265"/>
  <c r="I264"/>
  <c r="I263"/>
  <c r="I262"/>
  <c r="I261"/>
  <c r="I260"/>
  <c r="I259"/>
  <c r="I258"/>
  <c r="I257"/>
  <c r="I256"/>
  <c r="I255"/>
  <c r="I254"/>
  <c r="I253"/>
  <c r="I252"/>
  <c r="I251"/>
  <c r="I250"/>
  <c r="I249"/>
  <c r="I248"/>
  <c r="I247"/>
  <c r="I246"/>
  <c r="I245"/>
  <c r="I244"/>
  <c r="I243"/>
  <c r="I242"/>
  <c r="I241"/>
  <c r="I240"/>
  <c r="I239"/>
  <c r="I238"/>
  <c r="I237"/>
  <c r="I236"/>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l="1"/>
  <c r="J6" i="58" s="1"/>
  <c r="A1" i="4"/>
  <c r="F6" i="62" l="1"/>
  <c r="E6" i="52"/>
  <c r="F5" i="12"/>
  <c r="G6" i="6"/>
  <c r="F5" i="35"/>
  <c r="F6" i="6"/>
  <c r="F5" i="18"/>
  <c r="E5" i="53"/>
  <c r="A1" i="44" l="1"/>
  <c r="A3" i="56"/>
  <c r="A2" l="1"/>
  <c r="A1"/>
  <c r="A3" i="23"/>
  <c r="A2"/>
  <c r="A1"/>
  <c r="A3" i="47" l="1"/>
  <c r="A2"/>
  <c r="A1"/>
  <c r="D18" i="17" l="1"/>
  <c r="C18"/>
  <c r="D17" l="1"/>
  <c r="E17" s="1"/>
  <c r="E18"/>
  <c r="C17"/>
  <c r="D16"/>
  <c r="D14" l="1"/>
  <c r="C14"/>
  <c r="C16"/>
  <c r="E16" s="1"/>
  <c r="A1"/>
  <c r="D13" l="1"/>
  <c r="C13" s="1"/>
  <c r="D12" s="1"/>
  <c r="C12" s="1"/>
  <c r="C11" s="1"/>
  <c r="D11" l="1"/>
  <c r="C5"/>
  <c r="D5" l="1"/>
  <c r="E5" s="1"/>
  <c r="E11"/>
</calcChain>
</file>

<file path=xl/sharedStrings.xml><?xml version="1.0" encoding="utf-8"?>
<sst xmlns="http://schemas.openxmlformats.org/spreadsheetml/2006/main" count="30581" uniqueCount="2304">
  <si>
    <t>Другие вопросы в области культуры, кинематографии</t>
  </si>
  <si>
    <t>430</t>
  </si>
  <si>
    <t>ШТРАФЫ, САНКЦИИ, ВОЗМЕЩЕНИЕ УЩЕРБА</t>
  </si>
  <si>
    <t>Жилищное хозяйство</t>
  </si>
  <si>
    <t>Другие вопросы в области образования</t>
  </si>
  <si>
    <t>806</t>
  </si>
  <si>
    <t xml:space="preserve">Субвенции местным бюджетам на выполнение передаваемых полномочий субъектов Российской Федерации </t>
  </si>
  <si>
    <t>Субвенции бюджетам муниципальных районов на выполнение передаваемых полномочий субъектов Российской Федерации</t>
  </si>
  <si>
    <t>9902</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</si>
  <si>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</si>
  <si>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</si>
  <si>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Публ</t>
  </si>
  <si>
    <t>Ежегодная единовременная выплата (премия) лицам, удостоенным звания «Почетный гражданин Богучанского района»</t>
  </si>
  <si>
    <t xml:space="preserve">2. </t>
  </si>
  <si>
    <t>2.1.</t>
  </si>
  <si>
    <t>Пенсия за выслугу лет  лицам, замещавшим должности муниципальной службы муниципального образования  Богучанский район</t>
  </si>
  <si>
    <t>класс</t>
  </si>
  <si>
    <t>4910100</t>
  </si>
  <si>
    <t>Охрана семьи и детства</t>
  </si>
  <si>
    <t>Единый сельскохозяйственный налог</t>
  </si>
  <si>
    <t>ГОСУДАРСТВЕННАЯ ПОШЛИНА</t>
  </si>
  <si>
    <t>Наименование</t>
  </si>
  <si>
    <t>04000</t>
  </si>
  <si>
    <t>07</t>
  </si>
  <si>
    <t>8</t>
  </si>
  <si>
    <t>ВСЕГО  ДОХОДОВ</t>
  </si>
  <si>
    <t>09</t>
  </si>
  <si>
    <t>11</t>
  </si>
  <si>
    <t>120</t>
  </si>
  <si>
    <t>05000</t>
  </si>
  <si>
    <t xml:space="preserve">- погашение                                        </t>
  </si>
  <si>
    <t>08</t>
  </si>
  <si>
    <t>03000</t>
  </si>
  <si>
    <t>НАЛОГОВЫЕ И НЕНАЛОГОВЫЕ ДОХОДЫ</t>
  </si>
  <si>
    <t>НАЛОГИ НА ПРИБЫЛЬ, ДОХОДЫ</t>
  </si>
  <si>
    <t>финансовое управление администрации Богучанского района</t>
  </si>
  <si>
    <t>Погашение бюджетами муниципальных районов кредитов от других бюджетов бюджетной системы Российской Федерации в валюте Российской Федерации</t>
  </si>
  <si>
    <t>Благоустройство</t>
  </si>
  <si>
    <t>ПБС</t>
  </si>
  <si>
    <t xml:space="preserve">ЦА301 </t>
  </si>
  <si>
    <t xml:space="preserve">ЦБ302 </t>
  </si>
  <si>
    <t xml:space="preserve">ЦВ303 </t>
  </si>
  <si>
    <t xml:space="preserve">ЦГ304 </t>
  </si>
  <si>
    <t xml:space="preserve">ЦД305 </t>
  </si>
  <si>
    <t xml:space="preserve">ЦЕ306 </t>
  </si>
  <si>
    <t xml:space="preserve">ЦЖ307 </t>
  </si>
  <si>
    <t xml:space="preserve">ЦИ308 </t>
  </si>
  <si>
    <t xml:space="preserve">ЦК309 </t>
  </si>
  <si>
    <t xml:space="preserve">ЦЛ310 </t>
  </si>
  <si>
    <t xml:space="preserve">ЦМ311 </t>
  </si>
  <si>
    <t xml:space="preserve">ЦН312 </t>
  </si>
  <si>
    <t xml:space="preserve">ЦО313 </t>
  </si>
  <si>
    <t xml:space="preserve">ЦП314 </t>
  </si>
  <si>
    <t xml:space="preserve">ЦР315 </t>
  </si>
  <si>
    <t xml:space="preserve">ЦС316 </t>
  </si>
  <si>
    <t xml:space="preserve">ЦТ317 </t>
  </si>
  <si>
    <t xml:space="preserve">ЦУ318 </t>
  </si>
  <si>
    <t>Администрация Ангарского сельсовета</t>
  </si>
  <si>
    <t>Администрация Богучанского сельсовета</t>
  </si>
  <si>
    <t>Администрация Говорковского сельсовета</t>
  </si>
  <si>
    <t>Резервные фонды</t>
  </si>
  <si>
    <t>Прочие субсидии</t>
  </si>
  <si>
    <t>Прочие субсидии бюджетам муниципальных районов</t>
  </si>
  <si>
    <t>Другие вопросы в области социальной политики</t>
  </si>
  <si>
    <t>01 05 02 01 05 0000 510</t>
  </si>
  <si>
    <t>01 05 02 01 05 0000 610</t>
  </si>
  <si>
    <t>863</t>
  </si>
  <si>
    <t>Функционирование законодательных (представительных) органов государственной власти и представительных органов муниципальных образований</t>
  </si>
  <si>
    <t>Иные межбюджетные трансферты</t>
  </si>
  <si>
    <t>(в рублях)</t>
  </si>
  <si>
    <t>ВСЕГО</t>
  </si>
  <si>
    <t>13</t>
  </si>
  <si>
    <t>130</t>
  </si>
  <si>
    <t>14</t>
  </si>
  <si>
    <t>Доходы от реализации имущества, находящегося в собственности муниципальных районов (в части реализации основных средств по указанному имуществу)</t>
  </si>
  <si>
    <t>410</t>
  </si>
  <si>
    <t>048</t>
  </si>
  <si>
    <t>Наименование поселения</t>
  </si>
  <si>
    <t>Всего межбюджетных трансфертов, перечисляемых из бюджетов поселений</t>
  </si>
  <si>
    <t>Администрация Артюгинского  сельсовета</t>
  </si>
  <si>
    <t>Администрация Манзенского  сельсовета</t>
  </si>
  <si>
    <t>Администрация Новохайского сельсовета</t>
  </si>
  <si>
    <t>Администрация Пинчугского сельсовета</t>
  </si>
  <si>
    <t>Администрация Октябрьского сельсовета</t>
  </si>
  <si>
    <t>Администрация Таежнинского сельсовета</t>
  </si>
  <si>
    <t>Администрация Такучетского  сельсовета</t>
  </si>
  <si>
    <t>Администрация Шиверского сельсовета</t>
  </si>
  <si>
    <t>БЕЗВОЗМЕЗДНЫЕ ПОСТУПЛЕНИЯ</t>
  </si>
  <si>
    <t>НАЛОГИ НА СОВОКУПНЫЙ ДОХОД</t>
  </si>
  <si>
    <t>Единый налог на вмененный доход для отдельных видов деятельности</t>
  </si>
  <si>
    <t>НАЛОГИ НА ИМУЩЕСТВО</t>
  </si>
  <si>
    <t>Земельный налог</t>
  </si>
  <si>
    <t>Государственная пошлина по делам, рассматриваемым в судах общей юрисдикции, мировыми судьями</t>
  </si>
  <si>
    <t>Увеличение остатков средств бюджетов</t>
  </si>
  <si>
    <t>Увеличение прочих остатков средств бюджетов</t>
  </si>
  <si>
    <t>Уменьшение остатков средств бюджетов</t>
  </si>
  <si>
    <t>Уменьшение прочих остатков средств бюджетов</t>
  </si>
  <si>
    <t>Пенсионное обеспечение</t>
  </si>
  <si>
    <t>Социальное обеспечение населения</t>
  </si>
  <si>
    <t>Прочие местные налоги и сборы, мобилизуемые на территориях муниципальных районов</t>
  </si>
  <si>
    <t>ДОХОДЫ ОТ ИСПОЛЬЗОВАНИЯ ИМУЩЕСТВА, НАХОДЯЩЕГОСЯ В ГОСУДАРСТВЕННОЙ И МУНИЦИПАЛЬНОЙ СОБСТВЕННОСТИ</t>
  </si>
  <si>
    <t>01 02 00 00 05 0000 810</t>
  </si>
  <si>
    <t>год</t>
  </si>
  <si>
    <t>Дефицит</t>
  </si>
  <si>
    <t>ФФП</t>
  </si>
  <si>
    <t>Молодежь Приангарья</t>
  </si>
  <si>
    <t>Сбалансированность</t>
  </si>
  <si>
    <t>ВУС</t>
  </si>
  <si>
    <t>Методика ВУС</t>
  </si>
  <si>
    <t>Полномочия поселений</t>
  </si>
  <si>
    <t>Администраторы доходов</t>
  </si>
  <si>
    <t>Администраторы источников</t>
  </si>
  <si>
    <t>Доходы</t>
  </si>
  <si>
    <t>КОД</t>
  </si>
  <si>
    <t xml:space="preserve">Наименование </t>
  </si>
  <si>
    <t>890 01 00 00 00 00 0000 000</t>
  </si>
  <si>
    <t>ИСТОЧНИКИ ВНУТРЕННЕГО ФИНАНСИРОВАНИЯ ДЕФИЦИТОВ БЮДЖЕТОВ</t>
  </si>
  <si>
    <t>Бюджетные кредиты от других бюджетов бюджетной системы Российской Федерации</t>
  </si>
  <si>
    <t>890 01 03 00 00 00 0000 700</t>
  </si>
  <si>
    <t>Получение бюджетных кредитов от других бюджетов бюджетной системы Российской Федерации в валюте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</si>
  <si>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</si>
  <si>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ПЛАТЕЖИ ПРИ ПОЛЬЗОВАНИИ ПРИРОДНЫМИ РЕСУРСАМИ</t>
  </si>
  <si>
    <t>ДОХОДЫ ОТ ПРОДАЖИ МАТЕРИАЛЬНЫХ И НЕМАТЕРИАЛЬНЫХ АКТИВОВ</t>
  </si>
  <si>
    <t>Доходы от продажи земельных участков, государственная собственность на которые не разграничена и которые расположены в границах поселений</t>
  </si>
  <si>
    <t>16</t>
  </si>
  <si>
    <t>140</t>
  </si>
  <si>
    <t>1</t>
  </si>
  <si>
    <t>00</t>
  </si>
  <si>
    <t>00000</t>
  </si>
  <si>
    <t>0000</t>
  </si>
  <si>
    <t>182</t>
  </si>
  <si>
    <t>01</t>
  </si>
  <si>
    <t>01000</t>
  </si>
  <si>
    <t>110</t>
  </si>
  <si>
    <t>Субсидии бюджетам субъектов Российской Федерации и муниципальных образований (межбюджетные субсидии)</t>
  </si>
  <si>
    <t>Администрация Невонского сельсовета</t>
  </si>
  <si>
    <t>Администрация Нижнетерянского сельсовета</t>
  </si>
  <si>
    <t xml:space="preserve">Администрация Таежнинского сельсовета </t>
  </si>
  <si>
    <t>Администрация Хребтовского сельсовета</t>
  </si>
  <si>
    <t>Администрация Чуноярского сельсовета</t>
  </si>
  <si>
    <t>ОБРАЗОВАНИЕ</t>
  </si>
  <si>
    <t>СОЦИАЛЬНАЯ ПОЛИТИКА</t>
  </si>
  <si>
    <t>Безвозмездные поступления от других бюджетов бюджетной системы Российской Федерации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</si>
  <si>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</si>
  <si>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автономных учреждений)</t>
  </si>
  <si>
    <t>Другие вопросы в области национальной экономики</t>
  </si>
  <si>
    <t>Коммунальное хозяйство</t>
  </si>
  <si>
    <t>Изменение остатков средств на счетах по учету средств бюджета</t>
  </si>
  <si>
    <t>890 01 05 00 00 00 0000 500</t>
  </si>
  <si>
    <t>890 01 05 02 00 00 0000 500</t>
  </si>
  <si>
    <t>890 01 05 02 01 00 0000 510</t>
  </si>
  <si>
    <t>Другие вопросы в области жилищно-коммунального хозяйства</t>
  </si>
  <si>
    <t>Дошкольное образование</t>
  </si>
  <si>
    <t>Общее образование</t>
  </si>
  <si>
    <t>Увеличение прочих остатков денежных средств бюджетов муниципальных районов</t>
  </si>
  <si>
    <t>890 01 05 00 00 00 0000 600</t>
  </si>
  <si>
    <t>890 01 05 02 00 00 0000 600</t>
  </si>
  <si>
    <t>890 01 05 02 01 00 0000 610</t>
  </si>
  <si>
    <t>Уменьшение прочих остатков денежных средств бюджетов</t>
  </si>
  <si>
    <t>890 01 05 02 01 05 0000 610</t>
  </si>
  <si>
    <t>Уменьшение прочих остатков денежных средств бюджетов муниципальных районов</t>
  </si>
  <si>
    <t>Методика комиссий</t>
  </si>
  <si>
    <t>000</t>
  </si>
  <si>
    <t>№ строки</t>
  </si>
  <si>
    <t>Администрация Белякинского сельсовета</t>
  </si>
  <si>
    <t>Администрация Осиновомысского сельсовета</t>
  </si>
  <si>
    <t>0920300</t>
  </si>
  <si>
    <t>Итого</t>
  </si>
  <si>
    <t>Код ведом-ства</t>
  </si>
  <si>
    <t>Код группы, подгруппы, статьи и вида источников</t>
  </si>
  <si>
    <t xml:space="preserve">Наименование показателя </t>
  </si>
  <si>
    <t>2</t>
  </si>
  <si>
    <t>01 02 00 00 05 0000 710</t>
  </si>
  <si>
    <t>Полученные кредитов от других бюджетов бюджетной системы Российской Федерации бюджетами муниципальных районов в валюте Российской Федерации</t>
  </si>
  <si>
    <t>890 01 03 00 00 00 0000 800</t>
  </si>
  <si>
    <t>Погашение бюджетных кредитов, полученных от других бюджетов бюджетной системы Российской Федерации в валюте Российской Федерации</t>
  </si>
  <si>
    <t>890 01 05 00 00 00 0000 000</t>
  </si>
  <si>
    <t>КБК</t>
  </si>
  <si>
    <t>801</t>
  </si>
  <si>
    <t>802</t>
  </si>
  <si>
    <t>Контрольно-счетная комиссия Богучанского района</t>
  </si>
  <si>
    <t>Администрация Богучанского района</t>
  </si>
  <si>
    <t xml:space="preserve">Внутренние заимствования (привлечение/погашение)  </t>
  </si>
  <si>
    <t>НАЦИОНАЛЬНАЯ ЭКОНОМИКА</t>
  </si>
  <si>
    <t>Сельское хозяйство и рыболовство</t>
  </si>
  <si>
    <t>Транспорт</t>
  </si>
  <si>
    <t>Управление муниципальной собственностью Богучанского района</t>
  </si>
  <si>
    <t>НАЦИОНАЛЬНАЯ ОБОРОНА</t>
  </si>
  <si>
    <t>Мобилизационная и вневойсковая подготовка</t>
  </si>
  <si>
    <t>адм комиссии</t>
  </si>
  <si>
    <t>Увеличение прочих остатков денежных средств бюджетов</t>
  </si>
  <si>
    <t>890 01 05 02 01 05 0000 510</t>
  </si>
  <si>
    <t>10</t>
  </si>
  <si>
    <t>05020</t>
  </si>
  <si>
    <t>05025</t>
  </si>
  <si>
    <t>05030</t>
  </si>
  <si>
    <t>05035</t>
  </si>
  <si>
    <t>07010</t>
  </si>
  <si>
    <t>07015</t>
  </si>
  <si>
    <t>12</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</si>
  <si>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t>
  </si>
  <si>
    <t>830</t>
  </si>
  <si>
    <t xml:space="preserve">Бюджетные кредиты от других бюджетов бюджетной системы Российской Федерации                                     </t>
  </si>
  <si>
    <t>- погашение</t>
  </si>
  <si>
    <t xml:space="preserve">Общий объем заимствований, направляемых на покрытие дефицита районного бюджета и погашение муниципальных долговых обязательств района       </t>
  </si>
  <si>
    <t>03010</t>
  </si>
  <si>
    <t>07000</t>
  </si>
  <si>
    <t>875</t>
  </si>
  <si>
    <t>890</t>
  </si>
  <si>
    <t>Культура</t>
  </si>
  <si>
    <t>Массовый спорт</t>
  </si>
  <si>
    <t>Дотации на выравнивание бюджетной обеспеченности субъектов Российской Федерации и муниципальных образований</t>
  </si>
  <si>
    <t>05010</t>
  </si>
  <si>
    <t>Доходы, получаемые в виде арендной платы за земельные участки, государственная собственность на которые не разграничена ,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</si>
  <si>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</si>
  <si>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06010</t>
  </si>
  <si>
    <t>Обеспечение деятельности финансовых, налоговых и таможенных органов и органов финансового (финансово-бюджетного) надзора</t>
  </si>
  <si>
    <t>Другие общегосударственные вопросы</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</si>
  <si>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</si>
  <si>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 получение                                   </t>
  </si>
  <si>
    <t xml:space="preserve">Налог на прибыль организаций, зачисляемый в бюджеты бюджетной системы Российской Федерации по соответствующим ставкам </t>
  </si>
  <si>
    <t>01010</t>
  </si>
  <si>
    <t>01012</t>
  </si>
  <si>
    <t>02</t>
  </si>
  <si>
    <t>02000</t>
  </si>
  <si>
    <t>02010</t>
  </si>
  <si>
    <t>02020</t>
  </si>
  <si>
    <t>05</t>
  </si>
  <si>
    <t>06</t>
  </si>
  <si>
    <t>06000</t>
  </si>
  <si>
    <t>856</t>
  </si>
  <si>
    <t>Администрация Красногорьевского сельсовета</t>
  </si>
  <si>
    <t>Наименование показателя</t>
  </si>
  <si>
    <t>Подраздел</t>
  </si>
  <si>
    <t>ОБЩЕГОСУДАРСТВЕННЫЕ ВОПРОСЫ</t>
  </si>
  <si>
    <t>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</si>
  <si>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</si>
  <si>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</si>
  <si>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НАЦИОНАЛЬНАЯ БЕЗОПАСНОСТЬ И ПРАВООХРАНИТЕЛЬНАЯ ДЕЯТЕЛЬНОСТЬ</t>
  </si>
  <si>
    <t>ЖИЛИЩНО-КОММУНАЛЬНОЕ ХОЗЯЙСТВО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</si>
  <si>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</si>
  <si>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</si>
  <si>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01030</t>
  </si>
  <si>
    <t>05013</t>
  </si>
  <si>
    <t>Прочие доходы от оказания платных услуг (работ) получателями средств  бюджетов муниципальных районов</t>
  </si>
  <si>
    <t>01995</t>
  </si>
  <si>
    <t>02053</t>
  </si>
  <si>
    <t>Заимствования</t>
  </si>
  <si>
    <t>ФИЗИЧЕСКАЯ КУЛЬТУРА И СПОРТ</t>
  </si>
  <si>
    <t>КУЛЬТУРА, КИНЕМАТОГРАФИЯ</t>
  </si>
  <si>
    <t>Прочие межбюджетные трансферты общего характера</t>
  </si>
  <si>
    <t>06013</t>
  </si>
  <si>
    <t>Дорожное хозяйство (дорожные фонды)</t>
  </si>
  <si>
    <t>Муниципальное казенное учреждение "Муниципальная служба Заказчика"</t>
  </si>
  <si>
    <t>управление образования администрации Богучанского района Красноярского края</t>
  </si>
  <si>
    <t>дата Первого решения</t>
  </si>
  <si>
    <t>№ Первого решения</t>
  </si>
  <si>
    <t>9992</t>
  </si>
  <si>
    <t>02050</t>
  </si>
  <si>
    <t>откл</t>
  </si>
  <si>
    <t>02030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</si>
  <si>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ст.227 НК РФ</t>
  </si>
  <si>
    <t>Налог на доходы физических лиц с доходов, полученных физическими лицами в соответствии со ст. 228 НК РФ</t>
  </si>
  <si>
    <t>номер</t>
  </si>
  <si>
    <t>приложение</t>
  </si>
  <si>
    <t>плановый период</t>
  </si>
  <si>
    <t>Финансовое управление администрации Богучанского района</t>
  </si>
  <si>
    <t>3</t>
  </si>
  <si>
    <t>4</t>
  </si>
  <si>
    <t>5</t>
  </si>
  <si>
    <t>6</t>
  </si>
  <si>
    <t>7</t>
  </si>
  <si>
    <t>Акцизы по подакцизным товарам (продукции), производимым на территории РФ</t>
  </si>
  <si>
    <t>100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</si>
  <si>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</si>
  <si>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</si>
  <si>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взимаемый в связи с применением патентной системы налогообложения, зачисляемый в бюджеты муниципальных районов</t>
  </si>
  <si>
    <t>04020</t>
  </si>
  <si>
    <t xml:space="preserve">  Государственная пошлина за выдачу разрешения  на установку рекламной конструкции</t>
  </si>
  <si>
    <t>01040</t>
  </si>
  <si>
    <t>№ ПП</t>
  </si>
  <si>
    <t>Код главного администратора</t>
  </si>
  <si>
    <t>Код бюджетной классификации</t>
  </si>
  <si>
    <t>Наименование кода бюджетной классификации</t>
  </si>
  <si>
    <t>Богучанский район</t>
  </si>
  <si>
    <t>1 11 05013 05 1000 120</t>
  </si>
  <si>
    <t>1 11 05013 05 2000 120</t>
  </si>
  <si>
    <t>1 11 05013 05 3000 120</t>
  </si>
  <si>
    <t>1 11 05025 05 1000 120</t>
  </si>
  <si>
    <t>1 11 05025 05 2000 120</t>
  </si>
  <si>
    <t>1 11 05025 05 3000 120</t>
  </si>
  <si>
    <t>1 11 05035 05 1000 120</t>
  </si>
  <si>
    <t>1 11 05035 05 2000 120</t>
  </si>
  <si>
    <t>1 11 05035 05 3000 120</t>
  </si>
  <si>
    <t>1 11 05035 05 9960 120</t>
  </si>
  <si>
    <t>1 11 07015 05 1000 120</t>
  </si>
  <si>
    <t>Прочие доходы от компенсации затрат государства</t>
  </si>
  <si>
    <t>1 14 02053 05 1000 410</t>
  </si>
  <si>
    <t>1 14 06013 05 1000 430</t>
  </si>
  <si>
    <t>1 17 01050 05 0000 180</t>
  </si>
  <si>
    <t>Невыясненные поступления, зачисляемые в бюджеты муниципальных районов</t>
  </si>
  <si>
    <t>1 17 05050 05 0000 180</t>
  </si>
  <si>
    <t xml:space="preserve">Прочие неналоговые доходы бюджетов муниципальных районов </t>
  </si>
  <si>
    <t>1 08 07150 01 1000 110</t>
  </si>
  <si>
    <t>1 13 01995 05 0000 130</t>
  </si>
  <si>
    <t>1 13 01995 05 9901 130</t>
  </si>
  <si>
    <t>Прочие доходы от оказания платных услуг получателями средств бюджетов муниципальных районов (платные услуги муниципальных учреждений, находящимся в ведении органов местного самоуправления муниципальных районов)</t>
  </si>
  <si>
    <t>1 17 05050 05 1000 180</t>
  </si>
  <si>
    <t>Прочие безвозмездные поступления в бюджеты муниципальных районов (гранты, премии муниципальным учреждениям, находящимся в ведении органов местного самоуправления муниципальных районов)</t>
  </si>
  <si>
    <t>Прочие безвозмездные поступления в бюджеты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</si>
  <si>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1 11 05035 05 0000 120</t>
  </si>
  <si>
    <t>1 13 01995 05 9902 130</t>
  </si>
  <si>
    <t>Прочие доходы от оказания платных услуг получателями средств бюджетов муниципальных районов (родительская плата в дошкольных муниципальных учреждениях, находящимся в ведении органов местного самоуправления муниципальных районов)</t>
  </si>
  <si>
    <t>1 13 01995 05 9992 130</t>
  </si>
  <si>
    <t>Прочие доходы от оказания платных услуг получателями средств бюджетов муниципальных районов (плата в общеобразовательных учреждениях, находящимся в ведении органов местного самоуправления муниципальных районов за питание в школьных столовых)</t>
  </si>
  <si>
    <t>1 13 02065 05 9991 130</t>
  </si>
  <si>
    <t>Доходы, поступающие в порядке возмещения расходов, понесенных в связи с эксплуатацией имущества муниципальных районов (возмещение коммунальных услуг)</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</si>
  <si>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</si>
  <si>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Прочие неналоговые доходы бюджетов муниципальных районов</t>
  </si>
  <si>
    <t>Дотации бюджетам муниципальных районов на выравнивание бюджетной обеспеченности</t>
  </si>
  <si>
    <t>Дотации бюджетам муниципальных районов на поддержку мер по обеспечению сбалансированности бюджетов</t>
  </si>
  <si>
    <t>Богучанский районный Совет депутатов</t>
  </si>
  <si>
    <t>0102</t>
  </si>
  <si>
    <t>Функционирование высшего должностного лица муниципального образования в рамках непрограммных расходов органов местного самоуправления</t>
  </si>
  <si>
    <t>121</t>
  </si>
  <si>
    <t>Иные выплаты персоналу государственных (муниципальных) органов, за исключением фонда оплаты труда</t>
  </si>
  <si>
    <t>122</t>
  </si>
  <si>
    <t>0103</t>
  </si>
  <si>
    <t>Руководство и управление в сфере установленных функций в рамках непрограммных расходов органов местного самоуправления</t>
  </si>
  <si>
    <t>244</t>
  </si>
  <si>
    <t>Обеспечение деятельности депутатов представительного органа муниципального образования в рамках непрограммных расходов органов местного самоуправления</t>
  </si>
  <si>
    <t>0106</t>
  </si>
  <si>
    <t>Обеспечение деятельности руководителя контрольно-счетной палаты муниципального образования и его заместителей в рамках непрограммных расходов органов местного самоуправления</t>
  </si>
  <si>
    <t>0104</t>
  </si>
  <si>
    <t>Противопожарное обустройство здания администрации Богучанского района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</si>
  <si>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 в рамках непрограммных расходов органов местного самоуправления</t>
  </si>
  <si>
    <t>Выполнение государственных полномочий по созданию и обеспечению деятельности комиссий по делам несовершеннолетних и защите их прав в рамках непрограммных расходов органов местного самоуправления</t>
  </si>
  <si>
    <t>0113</t>
  </si>
  <si>
    <t>Выполнение государственных полномочий в области архивного дела в рамках непрограммных расходов органов местного самоуправления</t>
  </si>
  <si>
    <t>Публичные нормативные выплаты гражданам несоциального характера</t>
  </si>
  <si>
    <t>330</t>
  </si>
  <si>
    <t>Обеспечение деятельности (оказание услуг) единой дежурно-диспетчерской службы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</si>
  <si>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111</t>
  </si>
  <si>
    <t>Закупка товаров, работ, услуг в целях капитального ремонта государственного (муниципального) имущества</t>
  </si>
  <si>
    <t>243</t>
  </si>
  <si>
    <t>0310</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</si>
  <si>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</si>
  <si>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</si>
  <si>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</si>
  <si>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Обустройство и уход за противопожарными минерализованными полосами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</si>
  <si>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Обеспечение первичных мер пожарной безопасности населенных пунктов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</si>
  <si>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Отдельные мероприятия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</si>
  <si>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0405</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</si>
  <si>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на развитие малых форм хозяйствования в рамках подпрограммы "Поддержка малых форм хозяйствования" муниципальной программы "Развитие сельского хозяйства в Богучанском районе"</t>
  </si>
  <si>
    <t>810</t>
  </si>
  <si>
    <t>Выполнение отдельных государственных полномочий по решению вопросов поддержки сельскохозяйственного производства в рамках подпрограммы "Обеспечение реализации муниципальной программы и прочие мероприятия" муниципальной программы "Развитие сельского хозяйства в Богучанском районе"</t>
  </si>
  <si>
    <t>0408</t>
  </si>
  <si>
    <t>Отдельные мероприятия в области автомобильного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</si>
  <si>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0409</t>
  </si>
  <si>
    <t>Отдельные мероприятия в рамках подпрограммы "Дороги Богучанского района" муниципальной программы "Развитие транспортной системы Богучанского района"</t>
  </si>
  <si>
    <t>0412</t>
  </si>
  <si>
    <t>Расходы на информационно-консультационную поддержку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</si>
  <si>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Выполнение отдельных государственных полномочий по организации проведения мероприятий по отлову, учету, содержанию и иному обращению с безнадзорными домашними животными в рамках подпрограммы "Устойчивое развитие сельских территорий" муниципальной программы "Развитие сельского хозяйства в Богучанском районе"</t>
  </si>
  <si>
    <t>Софинансирование за счет средств местного бюджета расходов на 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</si>
  <si>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0502</t>
  </si>
  <si>
    <t>0707</t>
  </si>
  <si>
    <t>Субсидии бюджетным учреждениям на иные цели</t>
  </si>
  <si>
    <t>612</t>
  </si>
  <si>
    <t>Софинансирование за счет средств местного бюджета расходов на поддержку деятельности муниципальных молодежных центров в рамках подпрограммы "Вовлечение молодежи Богучанского района в социальную практику" муниципальной программы "Молодежь Приангарья"</t>
  </si>
  <si>
    <t>Отдельные мероприятия в рамках подпрограммы "Патриотическое воспитание молодежи Богучанского района" муниципальной программы "Молодежь Приангарья"</t>
  </si>
  <si>
    <t>Расходы на поддержку деятельности муниципальных молодежных центров в рамках подпрограммы "Обеспечение реализации муниципальной программы и прочие мероприятия" муниципальной программы "Молодежь Приангарья"</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</si>
  <si>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реализации муниципальной программы и прочие мероприятия" муниципальной программы "Молодежь Приангарья"</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</si>
  <si>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реализации муниципальной программы и прочие мероприятия" муниципальной программы "Молодежь Приангарья"</t>
  </si>
  <si>
    <t>0909</t>
  </si>
  <si>
    <t>Организация и проведение акарицидных обработок мест массового отдыха населения в рамках непрограммных расходов администрации Богучанского района</t>
  </si>
  <si>
    <t>1001</t>
  </si>
  <si>
    <t>Иные пенсии, социальные доплаты к пенсиям</t>
  </si>
  <si>
    <t>312</t>
  </si>
  <si>
    <t>1003</t>
  </si>
  <si>
    <t>Пособия, компенсации и иные социальные выплаты гражданам, кроме публичных нормативных обязательств</t>
  </si>
  <si>
    <t>321</t>
  </si>
  <si>
    <t>1102</t>
  </si>
  <si>
    <t>Расходы на организацию и проведение районных спортивно-массовых мероприятий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</si>
  <si>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Расходы на организацию участия в краевых спортивных мероприятиях, акциях, соревнованиях, сборах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</si>
  <si>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Расходы на организацию и проведение профилактических мероприятий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</si>
  <si>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Расходы на повышение уровня компетентности и квалификации специалистов, работающих с детьми и молодежью, и осуществляющих деятельность по профилактике наркомании и алкоголизма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</si>
  <si>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0501</t>
  </si>
  <si>
    <t>Отдельные мероприятия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</si>
  <si>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0503</t>
  </si>
  <si>
    <t>0505</t>
  </si>
  <si>
    <t>Обеспечение деятельности муниципального казенного учреждения "Муниципальная служба Заказчика" в рамках непрограммных расходов</t>
  </si>
  <si>
    <t>112</t>
  </si>
  <si>
    <t>0801</t>
  </si>
  <si>
    <t>Расходы на отдых, оздоровление и занятость детей и подростков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</si>
  <si>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1006</t>
  </si>
  <si>
    <t>0702</t>
  </si>
  <si>
    <t>Отдельные мероприятия в рамках подпрограммы "Энергосбережение и повышение энергетической эффективности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</si>
  <si>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</si>
  <si>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</si>
  <si>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Выполнение полномочий поселений по библиотечному обслуживанию населения в рамках подпрограммы "Культурное наследие" муниципальной программы Богучанского района "Развитие культуры"</t>
  </si>
  <si>
    <t>Расходы на проведение культурно-массовых мероприятий в рамках подпрограммы "Культурное наследие" муниципальной программы Богучанского района "Развитие культуры"</t>
  </si>
  <si>
    <t>Расходы на модернизацию сельских библиотек в рамках подпрограммы "Культурное наследие" муниципальной программы Богучанского района "Развитие культуры"</t>
  </si>
  <si>
    <t>0804</t>
  </si>
  <si>
    <t>Мероприятия по землеустройству и землепользованию в рамках непрограммных расходов управления муниципальной собственностью Богучанского района</t>
  </si>
  <si>
    <t>Бюджетные инвестиции на приобретение объектов недвижимого имущества в государственную (муниципальную) собственность</t>
  </si>
  <si>
    <t>412</t>
  </si>
  <si>
    <t>Софинансирование за счет средств местного бюджета расходов 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</si>
  <si>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Отдельные мероприятия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</si>
  <si>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0701</t>
  </si>
  <si>
    <t>Выполнение государственных полномочий по финансовому обеспечению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</si>
  <si>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</si>
  <si>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развитие системы образования Богучанского района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</si>
  <si>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</si>
  <si>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</si>
  <si>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</si>
  <si>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</si>
  <si>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Предоставление субсидий бюджетным учреждениям на оплату расходов по капитальному ремонту (включая расходы на проведение капитального ремонта хозяйственным способом)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</si>
  <si>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муниципальных загородных оздоровительных лагерей,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</si>
  <si>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</si>
  <si>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отдых, оздоровление и занятость детей и подростков в части предоставления субсидий бюджетным учреждениям на приобретение основных средств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</si>
  <si>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0709</t>
  </si>
  <si>
    <t>Выполнение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"Государственная поддержка детей-сирот, расширение практики применения семейных форм воспитания" муниципальной программы "Развитие образования Богучанского района"</t>
  </si>
  <si>
    <t>Выполнение государственных полномочий по обеспечению питанием детей, обучающихся в муниципальных и частных образовательных организациях, реализующих основные общеобразовательные программы, без взимания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</si>
  <si>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1004</t>
  </si>
  <si>
    <t>Выполнение государственных полномочий по выплате компенсации части родительской платы за присмотр и уход за детьми в образовательных организациях края, реализующих образовательную программу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</si>
  <si>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муниципальной программы "Управление муниципальными финансами"</t>
  </si>
  <si>
    <t>0111</t>
  </si>
  <si>
    <t>Резервные фонды местных администраций в рамках непрограммных расходов органов местного самоуправления</t>
  </si>
  <si>
    <t>Резервные средства</t>
  </si>
  <si>
    <t>870</t>
  </si>
  <si>
    <t>540</t>
  </si>
  <si>
    <t>Отдельные мероприятия в рамках непрограммных расходов органов местного самоуправления</t>
  </si>
  <si>
    <t>831</t>
  </si>
  <si>
    <t>0203</t>
  </si>
  <si>
    <t>Субвенции</t>
  </si>
  <si>
    <t>530</t>
  </si>
  <si>
    <t>Межбюджетные трансферты на реализацию мероприятий по трудовому воспитанию несовершеннолетних в рамках подпрограммы "Вовлечение молодежи Богучанского района в социальную практику" муниципальной программы "Молодежь Приангарья"</t>
  </si>
  <si>
    <t>1401</t>
  </si>
  <si>
    <t>511</t>
  </si>
  <si>
    <t>1403</t>
  </si>
  <si>
    <t>ВСЕГО РАСХОДОВ</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</si>
  <si>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администрации Богучанского района</t>
  </si>
  <si>
    <t>Муниципальная программа "Развитие образования Богучанского района"</t>
  </si>
  <si>
    <t>Подпрограмма "Развитие дошкольного, общего и дополнительного образования детей"</t>
  </si>
  <si>
    <t>011</t>
  </si>
  <si>
    <t>Подпрограмма "Государственная поддержка детей-сирот, расширение практики применения семейных форм воспитания"</t>
  </si>
  <si>
    <t>013</t>
  </si>
  <si>
    <t>Подпрограмма "Обеспечение реализации муниципальной программы и прочие мероприятия"</t>
  </si>
  <si>
    <t>014</t>
  </si>
  <si>
    <t>021</t>
  </si>
  <si>
    <t>Подпрограмма "Повышение качества и доступности социальных услуг населению"</t>
  </si>
  <si>
    <t>024</t>
  </si>
  <si>
    <t>Муниципальная программа "Реформирование и модернизация жилищно-коммунального хозяйства и повышение энергетической эффективности"</t>
  </si>
  <si>
    <t>032</t>
  </si>
  <si>
    <t>Подпрограмма "Энергосбережение и повышение энергетической эффективности на территории Богучанского района"</t>
  </si>
  <si>
    <t>034</t>
  </si>
  <si>
    <t>Муниципальная программа "Защита населения и территории Богучанского района от чрезвычайных ситуаций природного и техногенного характера"</t>
  </si>
  <si>
    <t>Подпрограмма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t>
  </si>
  <si>
    <t>041</t>
  </si>
  <si>
    <t>Подпрограмма "Борьба с пожарами в населенных пунктах Богучанского района"</t>
  </si>
  <si>
    <t>042</t>
  </si>
  <si>
    <t>Муниципальная программа Богучанского района "Развитие культуры"</t>
  </si>
  <si>
    <t>Подпрограмма "Культурное наследие"</t>
  </si>
  <si>
    <t>051</t>
  </si>
  <si>
    <t>052</t>
  </si>
  <si>
    <t>053</t>
  </si>
  <si>
    <t>Муниципальная программа "Молодежь Приангарья"</t>
  </si>
  <si>
    <t>Подпрограмма "Вовлечение молодежи Богучанского района в социальную практику"</t>
  </si>
  <si>
    <t>061</t>
  </si>
  <si>
    <t>Подпрограмма "Патриотическое воспитание молодежи Богучанского района"</t>
  </si>
  <si>
    <t>062</t>
  </si>
  <si>
    <t>Подпрограмма "Обеспечение жильем молодых семей в Богучанском районе"</t>
  </si>
  <si>
    <t>063</t>
  </si>
  <si>
    <t>064</t>
  </si>
  <si>
    <t>Муниципальная программа "Развитие физической культуры и спорта, в Богучанском районе"</t>
  </si>
  <si>
    <t>Подпрограмма "Развитие массовой физической культуры и спорта"</t>
  </si>
  <si>
    <t>071</t>
  </si>
  <si>
    <t>Подпрограмма "Формирование культуры здорового образа жизни"</t>
  </si>
  <si>
    <t>072</t>
  </si>
  <si>
    <t>Муниципальная программа "Развитие инвестиционной, инновационной деятельности, малого и среднего предпринимательства на территории Богучанского района"</t>
  </si>
  <si>
    <t>Подпрограмма "Развитие субъектов малого и среднего предпринимательства в Богучанском районе"</t>
  </si>
  <si>
    <t>081</t>
  </si>
  <si>
    <t>083</t>
  </si>
  <si>
    <t>Муниципальная программа "Развитие транспортной системы Богучанского района"</t>
  </si>
  <si>
    <t>Подпрограмма "Дороги Богучанского района"</t>
  </si>
  <si>
    <t>091</t>
  </si>
  <si>
    <t>Подпрограмма "Развитие транспортного комплекса Богучанского района"</t>
  </si>
  <si>
    <t>092</t>
  </si>
  <si>
    <t>Подпрограмма "Безопасность дорожного движения в Богучанском районе"</t>
  </si>
  <si>
    <t>093</t>
  </si>
  <si>
    <t>105</t>
  </si>
  <si>
    <t>Муниципальная программа "Управление муниципальными финансами"</t>
  </si>
  <si>
    <t>Подпрограмма "Обеспечение реализации муниципальной программы"</t>
  </si>
  <si>
    <t>Муниципальная программа "Развитие сельского хозяйства в Богучанском районе"</t>
  </si>
  <si>
    <t>Подпрограмма "Поддержка малых форм хозяйствования"</t>
  </si>
  <si>
    <t>Подпрограмма "Устойчивое развитие сельских территорий"</t>
  </si>
  <si>
    <t>123</t>
  </si>
  <si>
    <t>ак</t>
  </si>
  <si>
    <t>Выполнение полномочий поселений по разработке и утверждению программы комплексного развития систем коммунальной инфраструктуры, разработке и утверждению инвестиционных программ организаций коммунального комплекса, установлению надбавок к тарифам на товары и услуги организаций коммунального комплекса, надбавок к ценам (тарифам) для потребителей, регулированию тарифов на подключение к системам коммунальной инфраструктуры, тарифов организаций коммунального комплекса на подключение, приведению размера платы граждан за коммунальные услуги в соответствие с предельными индексами изменения размера платы граждан за коммунальные услуги в рамках непрограммных расходов органов местного самоуправления</t>
  </si>
  <si>
    <t>Проведение выборов и референдумов в рамках непрограммных расходов органов местного самоуправления</t>
  </si>
  <si>
    <t>Ежегодная единовременная выплата (премия) лицам, удостоенным звания "Почетный гражданин Богучанского района" в рамках непрограммных администрации Богучанского района</t>
  </si>
  <si>
    <t>Расходы на обеспечение систематического широкого освещения информации о реализации мероприятий в СМИ в рамках подпрограммы "Обеспечение реализации муниципальной программы и прочие мероприятия"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</si>
  <si>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Выполнение государственных полномочий по компенсации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</si>
  <si>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Пенсия за выслугу лет лицам, замещавшим должности муниципальной службы муниципального образования Богучанский район в рамках подпрограммы "Повышение качества жизни отдельных категорий граждан, в т. ч. инвалидов, степени их социальной защищенности" муниципальной программы "Система социальной защиты населения Богучанского района"</t>
  </si>
  <si>
    <t>Расходы на формирование устойчивой мотивации к здоровому образу жизни среди всех категорий населения района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</si>
  <si>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Софинансирование за счет средств местного бюджета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"Развитие и модернизация объектов коммунальной инфраструктуры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</si>
  <si>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Мероприятия по проектированию и реконструкции, строительству и обеспечению жизнедеятельности образовательных учреждений за счет спонсорских средств, средств благотворительных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</si>
  <si>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содержанию учреждений социального обслуживания населения в рамках подпрограммы "Повышение качества и доступности социальных услуг населению" муниципальной программы "Система социальной защиты населения Богучанского района"</t>
  </si>
  <si>
    <t>Расходы на проведение культурно-массовых мероприятий в рамках подпрограммы "Искусство и народное творчество" муниципальной программы Богучанского района "Развитие культуры"</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</si>
  <si>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</si>
  <si>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</si>
  <si>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</si>
  <si>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Предоставление субсидий бюджетным учреждениям на приобретение основных средств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</si>
  <si>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"Культурное наследие" муниципальной программы Богучанского района "Развитие культуры"</t>
  </si>
  <si>
    <t>Софинансирование за счет средств местного бюджета расходов 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</si>
  <si>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стоимости проезда в отпуск в соответствии с законодательством, в рамках подпрограммы "Культурное наследие" муниципальной программы Богучанского района "Развитие культуры"</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</si>
  <si>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</si>
  <si>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 муниципальной программы Богучанского района "Развитие культуры"</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</si>
  <si>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</si>
  <si>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"Искусство и народное творчество"муниципальной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</si>
  <si>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</si>
  <si>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региональных выплат 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</si>
  <si>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персональных выплат, устанавливаемых в целях повышения оплаты труда молодым специалистам,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</si>
  <si>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стоимости проезда в отпуск в соответствии с законодательством, в рамках подпрограммы "Искусство и народное творчество" муниципальной программы Богучанского района "Развитие культуры"</t>
  </si>
  <si>
    <t>Софинансирование за счет средств местного бюджета расходов на 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</si>
  <si>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Предоставление субсидий бюджетным учреждениям на оплату расходов по капитальному ремонту (включая расходы на проведение капитального ремонта хозяйственным способом)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</si>
  <si>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</si>
  <si>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Реализация полномочий в области приватизации и управления муниципальной собственностью в рамках непрограммных расходов органов местного самоуправления</t>
  </si>
  <si>
    <t>Отдельные мероприятия в рамках подпрограммы "Приобретение жилых помещений работникам бюджетной сферы Богучанского района" муниципальной программы "Обеспечение доступным и комфортным жильем граждан Богучанского района"</t>
  </si>
  <si>
    <t>Отдельные мероприятия в рамках подпрограммы "Организация проведения капитального ремонта общего имущества в многоквартирных домах, расположенных на территории Богучанского района" муниципальной программы"Реформирование и модернизация жилищно-коммунального хозяйства и повышение энергетической эффективности"</t>
  </si>
  <si>
    <t>Обеспечение деятельности (оказание услуг) учреждений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за счет спонсорских средств, средств добровольных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</si>
  <si>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Иные выплаты населению</t>
  </si>
  <si>
    <t>360</t>
  </si>
  <si>
    <t>Выплата ежемесячной стипендии одаренным детям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</si>
  <si>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</si>
  <si>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муниципальной программы "Управление муниципальными финансами"</t>
  </si>
  <si>
    <t>Осуществление полномочий по формированию, исполнению бюджетов поселений и контролю за их исполнением в рамках подпрограммы "Обеспечение реализации муниципальной программы" муниципальной программы "Управление муниципальными финансами"</t>
  </si>
  <si>
    <t>Межбюджетные трансферты на выполнение государственных полномочий по созданию и обеспечению деятельности административных комиссий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</si>
  <si>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Субвенции на осуществление государственных полномочий по первичному воинскому учету на территориях, где отсутствуют военные комиссариаты,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</si>
  <si>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Дотации на выравнивание бюджетной обеспеченности за счет средств краевого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</si>
  <si>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Дотации на выравнивание бюджетной обеспеченности за счет средств районного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</si>
  <si>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Межбюджетные трансферты на поддержку мер по обеспечению сбалансированности бюджетов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</si>
  <si>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Выполнение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рамках непрограммных расходов органов исполнительной власти</t>
  </si>
  <si>
    <t>033</t>
  </si>
  <si>
    <t>Доходы, поступающие в порядке возмещения расходов, понесенных в связи с эксплуатацией имущества муниципальных районов</t>
  </si>
  <si>
    <t>02065</t>
  </si>
  <si>
    <t>Дотации на выравнивание бюджетной обеспеченности</t>
  </si>
  <si>
    <t>1 11 07015 05 2000 120</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</si>
  <si>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</si>
  <si>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</si>
  <si>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1 14 01050 05 0000 410</t>
  </si>
  <si>
    <t>Доходы от продажи квартир, находящихся в собственности муниципальных районов</t>
  </si>
  <si>
    <t>1 14 06025 05 1000 430</t>
  </si>
  <si>
    <t>Поступления от денежных пожертвований, предоставляемых физическими лицами получателям средств бюджетов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</si>
  <si>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 xml:space="preserve">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
</t>
  </si>
  <si>
    <t>2017 год</t>
  </si>
  <si>
    <t>311</t>
  </si>
  <si>
    <t>320</t>
  </si>
  <si>
    <t>Оплата стоимости проезда в отпуск в соответствии с законодательством, руководству и управлению в сфере установленных функций в рамках непрограммных расходов органов местного самоуправления</t>
  </si>
  <si>
    <t>Оплата стоимости проезда в отпуск в соответствии с законодательством, руководителя контрольно-счетной палаты муниципального образования и его заместителей в рамках непрограммных расходов органов местного самоуправления</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</si>
  <si>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непрограммных расходов органов местного самоуправления</t>
  </si>
  <si>
    <t>Заработная плата и начисления работников, не являющихся лицами замещающими муниципальные должности, муниципальными служащими в рамках непрограммных расходов органов местного самоуправления</t>
  </si>
  <si>
    <t>Выполнение государственных полномочий Красноярского края по реализации мер дополнительной поддержки населения, направленных на соблюдение размера вносимой гражданами платы за коммунальные услуги,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</si>
  <si>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Оплата стоимости проезда в отпуск в соответствии с законодательством, работников муниципального казенного учреждения "Муниципальная служба Заказчика" в рамках непрограммых расходов</t>
  </si>
  <si>
    <t>Обеспечение бесплатного проезда детей до места нахождения детских оздоровительных лагерей и обратно в рамках подпрограммы "Социальная поддержка семей, имеющих детей" муниципальной программы "Система социальной защиты населения Богучанского района"</t>
  </si>
  <si>
    <t>Выполнение государственных полномочий по организации деятельности органов управления системой социальной защиты населения в рамках подпрограммы "Обеспечение своевременного и качественного исполнения переданных государственных полномочий по приему граждан, сбору документов, ведению базы данных получателей социальной помощи и организации социального обслуживания" муниципальной программы "Система социальной защиты населения Богучанского района"</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</si>
  <si>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</si>
  <si>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</si>
  <si>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</si>
  <si>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ЖКУ за исключением электроэнергии, в рамках подпрограммы "Культурное наследие"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</si>
  <si>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</si>
  <si>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ЖКУ за исключением электроэнергии, в рамках подпрограммы "Искусство и народное творчество"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</si>
  <si>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</si>
  <si>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дошкольного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</si>
  <si>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</si>
  <si>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Продукты питания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</si>
  <si>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</si>
  <si>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Персональные выплаты, устанавливаемые в целях повышения оплаты труда молодым специалистам,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</si>
  <si>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</si>
  <si>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дополнительного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</si>
  <si>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</si>
  <si>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</si>
  <si>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Продукты питания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</si>
  <si>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приобретение библиотечного фонда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</si>
  <si>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приобретение продуктов питания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</si>
  <si>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руководству и управлению в сфере установленных функций органов местного самоуправления в рамках подпрограммы "Обеспечение реализации муниципальной программы" муниципальной программы "Управление муниципальными финансами"</t>
  </si>
  <si>
    <t>Оплата жилищно-коммунальных услуг за исключением электроэнергии в рамках подпрограммы "Обеспечение реализации муниципальной программы" муниципальной программы "Управление муниципальными финансами"</t>
  </si>
  <si>
    <t>Муниципальная программа "Система социальной защиты населения Богучанского района"</t>
  </si>
  <si>
    <t>Подпрограмма "Повышение качества жизни отдельных категорий граждан, в т. ч. инвалидов, степени их социальной защищенности"</t>
  </si>
  <si>
    <t>Подпрограмма "Социальная поддержка семей, имеющих детей"</t>
  </si>
  <si>
    <t>Подпрограмма "Обеспечение своевременного и качественного исполнения переданных государственных полномочий по приему граждан, сбору документов, ведению базы данных получателей социальной помощи и организации социального обслуживания"</t>
  </si>
  <si>
    <t>Подпрограмма "Создание условий для безубыточной деятельности организаций жилищно-коммунального комплекса Богучанского района"</t>
  </si>
  <si>
    <t>Подпрограмма "Организация проведения капитального ремонта общего имущества в многоквартирных домах, расположенных на территории Богучанского района"</t>
  </si>
  <si>
    <t>Подпрограмма "Реконструкция и капитальный ремонт объектов коммунальной инфраструктуры муниципального образования Богучанский район"</t>
  </si>
  <si>
    <t>Подпрограмма "Искусство и народное творчество"</t>
  </si>
  <si>
    <t>Подпрограмма "Обеспечение условий реализации программы и прочие мероприятия"</t>
  </si>
  <si>
    <t>Муниципальная программа "Обеспечение доступным и комфортным жильем граждан Богучанского района"</t>
  </si>
  <si>
    <t>Подпрограмма "Приобретение жилых помещений работникам бюджетной сферы Богучанского района"</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</si>
  <si>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t>
  </si>
  <si>
    <t>Непрограммные расходы на обеспечение деятельности органов местного самоуправления</t>
  </si>
  <si>
    <t>Обеспечение деятельности местных администраций в рамках непрограммных расходов органов местного самоуправления</t>
  </si>
  <si>
    <t>Другие непрограммные расходы органов местного самоуправления</t>
  </si>
  <si>
    <t>322</t>
  </si>
  <si>
    <t>дата Нового решения</t>
  </si>
  <si>
    <t>№ Нового решения</t>
  </si>
  <si>
    <t>номер нового</t>
  </si>
  <si>
    <t>Софинансирование за счет средств местного бюджета на проведение реконструкции или капитального ремонта зданий общеобразовательных учреждений Красноярского края, находящихся в аварийном состоянии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</si>
  <si>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отдых, оздоровление и занятость детей и подростков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</si>
  <si>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Расходы на отдых, оздоровление и занятость детей и подростков (приобретение продуктов питания)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</si>
  <si>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Обеспечение деятельности (оказание услуг) подведомственных учреждений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</si>
  <si>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Специалисты муниципальной психолого медико-педагогической комиссии, члены районного методического совета в рамках подпрограммы "Обеспечение реализации муниципальной программы и прочие мероприятия в области образование" муниципальной программы "Развитие образования Богучанского района"</t>
  </si>
  <si>
    <t>Оплата стоимости проезда в отпуск в соответствии с законодательством, работников подведомственных учреждений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</si>
  <si>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жилищно-коммунальных услуг за исключением электроэнергии,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</si>
  <si>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</si>
  <si>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стоимости проезда в отпуск в соответствии с законодательством, руководству и управлению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</si>
  <si>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Подпрограмма "Обеспечение реализации муниципальной программы и прочие мероприятия в области образования"</t>
  </si>
  <si>
    <t>Предоставление субсидий бюджетным учреждениям на приобретение основных средств в рамках подпрограммы "Культурное наследие" муниципальной программы Богучанского района "Развитие культуры"</t>
  </si>
  <si>
    <t>Земельный налог с организаций, обладающих земельным участком, расположенным в границах межселенных территорий</t>
  </si>
  <si>
    <t>06033</t>
  </si>
  <si>
    <t>06043</t>
  </si>
  <si>
    <t xml:space="preserve">Земельный налог с физических лиц, обладающих земельным участком, расположенным в границах межселенных территорий
</t>
  </si>
  <si>
    <t>02040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</si>
  <si>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</si>
  <si>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1.1.</t>
  </si>
  <si>
    <t>Администрация Ангарского  сельсовета</t>
  </si>
  <si>
    <t>- получение</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</si>
  <si>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</si>
  <si>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Выполнение полномочий поселений по библиотечному обслуживанию населения в части региональных выплат 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"Культурное наследие" муниципальной программы Богучанского района "Развитие культуры"</t>
  </si>
  <si>
    <t>2018 год</t>
  </si>
  <si>
    <t>Налог, взимаемый в связи с применением патентной системы налогообложения</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</si>
  <si>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</si>
  <si>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09000</t>
  </si>
  <si>
    <t>Прочие поступления от использования имущества, находящегося в собственности муниципальных районов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</si>
  <si>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Плата за выбросы загрязняющих веществ в атмосферный воздух стацианарными объектами</t>
  </si>
  <si>
    <t>Плата за выбросы загрязняющих веществ в водные объекты</t>
  </si>
  <si>
    <t>Плата за размещение отходов производства и потребления</t>
  </si>
  <si>
    <t>Прочие доходы от оказания платных услуг (работ) получателями средств бюджетов муниципальных районов</t>
  </si>
  <si>
    <t>Всего расходов</t>
  </si>
  <si>
    <t>8020060000</t>
  </si>
  <si>
    <t>8020067000</t>
  </si>
  <si>
    <t>8030060000</t>
  </si>
  <si>
    <t>8030067000</t>
  </si>
  <si>
    <t>8040060000</t>
  </si>
  <si>
    <t>8040067000</t>
  </si>
  <si>
    <t>8010060000</t>
  </si>
  <si>
    <t>0420080040</t>
  </si>
  <si>
    <t>8020074670</t>
  </si>
  <si>
    <t>8020076040</t>
  </si>
  <si>
    <t>8020061000</t>
  </si>
  <si>
    <t>802006Б000</t>
  </si>
  <si>
    <t>80200Ч0010</t>
  </si>
  <si>
    <t>9040051200</t>
  </si>
  <si>
    <t>9020080000</t>
  </si>
  <si>
    <t>8020074290</t>
  </si>
  <si>
    <t>8020075190</t>
  </si>
  <si>
    <t>9060080000</t>
  </si>
  <si>
    <t>0410040010</t>
  </si>
  <si>
    <t>0410041010</t>
  </si>
  <si>
    <t>0420040010</t>
  </si>
  <si>
    <t>Оплата жилищно-коммунальных услуг за исключением электроэнергии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</si>
  <si>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042004Г010</t>
  </si>
  <si>
    <t>0420080020</t>
  </si>
  <si>
    <t>0420080030</t>
  </si>
  <si>
    <t>Обеспечение деятельности (оказание услуг) подведомственных учреждений за счет средств от доходов по подвозу воды населению,предприятиям, организациям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</si>
  <si>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0420040090</t>
  </si>
  <si>
    <t>Оплата жилищно-коммунальных услуг за исключением электроэнергии  подведомственных учреждений за счет средств от доходов по подвозу воды населению,предприятиям, организациям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</si>
  <si>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042004Г090</t>
  </si>
  <si>
    <t>0410080010</t>
  </si>
  <si>
    <t>1210022480</t>
  </si>
  <si>
    <t>1230075170</t>
  </si>
  <si>
    <t>09200П0000</t>
  </si>
  <si>
    <t>0910080000</t>
  </si>
  <si>
    <t>0810080020</t>
  </si>
  <si>
    <t>Расходы на реализацию мероприятий,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</si>
  <si>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0810080010</t>
  </si>
  <si>
    <t>0830080030</t>
  </si>
  <si>
    <t>1220075180</t>
  </si>
  <si>
    <t>12200S5410</t>
  </si>
  <si>
    <t>0320075770</t>
  </si>
  <si>
    <t>0320075700</t>
  </si>
  <si>
    <t>Возмещение специализированным службам по вопросам похоронного дела стоимости услуг по погребению в рамках непрограммных расходов органов местного самоуправления</t>
  </si>
  <si>
    <t>90900Ш0000</t>
  </si>
  <si>
    <t>06100S4560</t>
  </si>
  <si>
    <t>0620080000</t>
  </si>
  <si>
    <t>0640074560</t>
  </si>
  <si>
    <t>0640040000</t>
  </si>
  <si>
    <t>0640041000</t>
  </si>
  <si>
    <t>0210080010</t>
  </si>
  <si>
    <t>0710080010</t>
  </si>
  <si>
    <t>0710080020</t>
  </si>
  <si>
    <t>0720080010</t>
  </si>
  <si>
    <t>0720080020</t>
  </si>
  <si>
    <t>0720080030</t>
  </si>
  <si>
    <t>0350080000</t>
  </si>
  <si>
    <t>9050040000</t>
  </si>
  <si>
    <t>9050047000</t>
  </si>
  <si>
    <t>0110083010</t>
  </si>
  <si>
    <t>01100S5620</t>
  </si>
  <si>
    <t>0220002750</t>
  </si>
  <si>
    <t>0240001510</t>
  </si>
  <si>
    <t>0250075130</t>
  </si>
  <si>
    <t>0260075130</t>
  </si>
  <si>
    <t>0520080520</t>
  </si>
  <si>
    <t>0530040000</t>
  </si>
  <si>
    <t>0530041000</t>
  </si>
  <si>
    <t>0530045000</t>
  </si>
  <si>
    <t>0530047000</t>
  </si>
  <si>
    <t>053004Г000</t>
  </si>
  <si>
    <t>0510040000</t>
  </si>
  <si>
    <t>0510041000</t>
  </si>
  <si>
    <t>0510047000</t>
  </si>
  <si>
    <t>051004Г000</t>
  </si>
  <si>
    <t>05100S4880</t>
  </si>
  <si>
    <t>05100Ч0040</t>
  </si>
  <si>
    <t>05100Ч1040</t>
  </si>
  <si>
    <t>05100Ч7040</t>
  </si>
  <si>
    <t>05100ЧГ040</t>
  </si>
  <si>
    <t>0510080520</t>
  </si>
  <si>
    <t>0510080530</t>
  </si>
  <si>
    <t>05100Ф0000</t>
  </si>
  <si>
    <t>0520040000</t>
  </si>
  <si>
    <t>0520041000</t>
  </si>
  <si>
    <t>0520045000</t>
  </si>
  <si>
    <t>0520047000</t>
  </si>
  <si>
    <t>052004Г000</t>
  </si>
  <si>
    <t>05200Ч0030</t>
  </si>
  <si>
    <t>05200Ч1030</t>
  </si>
  <si>
    <t>05200Ч5030</t>
  </si>
  <si>
    <t>05200Ч7030</t>
  </si>
  <si>
    <t>05200ЧГ030</t>
  </si>
  <si>
    <t>05300L1440</t>
  </si>
  <si>
    <t>05300Ф0000</t>
  </si>
  <si>
    <t>05300Ц0000</t>
  </si>
  <si>
    <t>0530051440</t>
  </si>
  <si>
    <t>90900Д0000</t>
  </si>
  <si>
    <t>90900Ж0000</t>
  </si>
  <si>
    <t>1050080000</t>
  </si>
  <si>
    <t>0330080000</t>
  </si>
  <si>
    <t>06300S4580</t>
  </si>
  <si>
    <t>0110075880</t>
  </si>
  <si>
    <t>Выполнение государственных полномочий по финансовому обеспечению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дошкольных образовательных и общеобразовательных организаций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</si>
  <si>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0110074080</t>
  </si>
  <si>
    <t>0110040010</t>
  </si>
  <si>
    <t>0110041010</t>
  </si>
  <si>
    <t>0110047010</t>
  </si>
  <si>
    <t>011004Г010</t>
  </si>
  <si>
    <t>011004П010</t>
  </si>
  <si>
    <t>0110075640</t>
  </si>
  <si>
    <t>Выполнение государственных полномочий по финансовому обеспечению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общеобразовательных организаций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</si>
  <si>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0110074090</t>
  </si>
  <si>
    <t>0110040020</t>
  </si>
  <si>
    <t>0110041020</t>
  </si>
  <si>
    <t>0110047020</t>
  </si>
  <si>
    <t>011004Г020</t>
  </si>
  <si>
    <t>0110040030</t>
  </si>
  <si>
    <t>0110041030</t>
  </si>
  <si>
    <t>0110045030</t>
  </si>
  <si>
    <t>0110043020</t>
  </si>
  <si>
    <t>011004П020</t>
  </si>
  <si>
    <t>0110047030</t>
  </si>
  <si>
    <t>011004Г030</t>
  </si>
  <si>
    <t>0110080020</t>
  </si>
  <si>
    <t>011008Ж020</t>
  </si>
  <si>
    <t>011008П020</t>
  </si>
  <si>
    <t>0110080040</t>
  </si>
  <si>
    <t>0340080000</t>
  </si>
  <si>
    <t>0930080010</t>
  </si>
  <si>
    <t>0110040040</t>
  </si>
  <si>
    <t>0110041040</t>
  </si>
  <si>
    <t>Оплата стоимости проезда в отпуск в соответствии с законодательством, работников муниципальных загородных оздоровительных лагерей,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</si>
  <si>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0110047040</t>
  </si>
  <si>
    <t>01100Ф0030</t>
  </si>
  <si>
    <t>01100Ц0010</t>
  </si>
  <si>
    <t>Софинансирование за счет средств местного бюджета расходов на организацию отдыха детей и их оздоровления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</si>
  <si>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01100S3970</t>
  </si>
  <si>
    <t>0140080000</t>
  </si>
  <si>
    <t>0110080030</t>
  </si>
  <si>
    <t>0130075520</t>
  </si>
  <si>
    <t>0140040000</t>
  </si>
  <si>
    <t>0140041000</t>
  </si>
  <si>
    <t>0140047000</t>
  </si>
  <si>
    <t>014004Г000</t>
  </si>
  <si>
    <t>0140060000</t>
  </si>
  <si>
    <t>0140067000</t>
  </si>
  <si>
    <t>0140040050</t>
  </si>
  <si>
    <t>0110075540</t>
  </si>
  <si>
    <t>0110075660</t>
  </si>
  <si>
    <t>0110075560</t>
  </si>
  <si>
    <t>1120060000</t>
  </si>
  <si>
    <t>1120061000</t>
  </si>
  <si>
    <t>1120067000</t>
  </si>
  <si>
    <t>112006Г000</t>
  </si>
  <si>
    <t>11200Ч0060</t>
  </si>
  <si>
    <t>9010080000</t>
  </si>
  <si>
    <t>1110075140</t>
  </si>
  <si>
    <t>9090080000</t>
  </si>
  <si>
    <t>1110051180</t>
  </si>
  <si>
    <t>Межбюджетные трансферты на осуществление полномочий в области автомобильного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</si>
  <si>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09200Ч0090</t>
  </si>
  <si>
    <t>06100Ч0050</t>
  </si>
  <si>
    <t>9090075550</t>
  </si>
  <si>
    <t>1110076010</t>
  </si>
  <si>
    <t>1110080130</t>
  </si>
  <si>
    <t>1110080120</t>
  </si>
  <si>
    <t>03100S5710</t>
  </si>
  <si>
    <t>0360080000</t>
  </si>
  <si>
    <t>014008П000</t>
  </si>
  <si>
    <t>022</t>
  </si>
  <si>
    <t>026</t>
  </si>
  <si>
    <t>035</t>
  </si>
  <si>
    <t>80</t>
  </si>
  <si>
    <t>803</t>
  </si>
  <si>
    <t>804</t>
  </si>
  <si>
    <t>90</t>
  </si>
  <si>
    <t>901</t>
  </si>
  <si>
    <t>902</t>
  </si>
  <si>
    <t>904</t>
  </si>
  <si>
    <t>905</t>
  </si>
  <si>
    <t>906</t>
  </si>
  <si>
    <t>909</t>
  </si>
  <si>
    <t>Подпрограмма "Развитие и модернизация объектов коммунальной инфраструктуры на территории Богучанского района"</t>
  </si>
  <si>
    <t>031</t>
  </si>
  <si>
    <t>Подпрограмма "Обращение с отходами на территории Богучанского района"</t>
  </si>
  <si>
    <t>036</t>
  </si>
  <si>
    <t>09200L0000</t>
  </si>
  <si>
    <t>Отдельные мероприятия в области воздушного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</si>
  <si>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Расходы по строительству полигона ТБО в с. Богучаны за счет спонсорский средств, средств добровольных пожертвований в рамках подпрограммы "Обращение с отходами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</si>
  <si>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0110026540</t>
  </si>
  <si>
    <t>На компенсацию расходов муниципальных спортивных школ, подготовивших спортсмена, ставшего членом спортивной сборной команды Красноярского края,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</si>
  <si>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0110042220</t>
  </si>
  <si>
    <t>Софинансирование за счет средств местного бюджета частичного финансирования (возмещения) расходов на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</si>
  <si>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0110045020</t>
  </si>
  <si>
    <t>Персональные выплаты, устанавливаемые в целях повышения оплаты труда молодым специалистам,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</si>
  <si>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0110050270</t>
  </si>
  <si>
    <t>Мероприятия государственной программы Российской Федерации «Доступная среда» на 2011 - 2015 годы за счет средств федерального бюджета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</si>
  <si>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0110074410</t>
  </si>
  <si>
    <t>Финансовая поддержка муниципальных учреждений, иных муниципальных организаций, оказывающих услуги по отдыху, оздоровлению и занятости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</si>
  <si>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0110074700</t>
  </si>
  <si>
    <t>На проведение капитального ремонта спортивных залов школ, расположенных в сельской местности, для создания условий для занятий физической культурой и спортом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</si>
  <si>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0110075580</t>
  </si>
  <si>
    <t>Частичное финансирование (возмещение) расходов на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</si>
  <si>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0110075620</t>
  </si>
  <si>
    <t>На проведение реконструкции или капитального ремонта зданий общеобразовательных учреждений Красноярского края, находящихся в аварийном состоянии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</si>
  <si>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0110075840</t>
  </si>
  <si>
    <t>На выплаты отдельным категориям работников муниципальных загородных оздоровительных лагерей, на оплату услуг по санитарно-эпидемиологической оценке обстановки в муниципальных загородных оздоровительных лагерях, оказанных на договорной основе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</si>
  <si>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0110075850</t>
  </si>
  <si>
    <t>Организация отдыха, оздоровления и занятости детей в муниципальных загородных оздоровительных лагерях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</si>
  <si>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0110077460</t>
  </si>
  <si>
    <t>Средства на осуществление (возмещение)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</si>
  <si>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0110080010</t>
  </si>
  <si>
    <t>Мероприятия по обеспечению жизнедеятельности 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</si>
  <si>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0110080050</t>
  </si>
  <si>
    <t>Расходы на введение дополнительных мест в системе дошкольного образования детей посредством реконструкции и капитального ремонта зданий под дошкольные образовательные учреждения, реконструкции и капитального ремонта зданий 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</si>
  <si>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0110082310</t>
  </si>
  <si>
    <t>0110082330</t>
  </si>
  <si>
    <t>Софинансирование за счет средств местного бюджета расходов на мероприятия государственной программы Российской Федерации «Доступная среда» на 2011 - 2015 годы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</si>
  <si>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0110082340</t>
  </si>
  <si>
    <t>Софинансирование за счет средств местного бюджета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</si>
  <si>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0110082350</t>
  </si>
  <si>
    <t>Софинансирование за счет средств местного бюджета расходов на проведение капитального ремонта спортивных залов школ, расположенных в сельской местности, для создания условий для занятий физической культурой и спортом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</si>
  <si>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01100Ц2170</t>
  </si>
  <si>
    <t>Софинансирование за счет средств местного бюджета расходов на финансовую поддержку муниципальных учреждений, иных муниципальных организаций, оказывающих услуги по отдыху, оздоровлению и занятости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</si>
  <si>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027</t>
  </si>
  <si>
    <t>Подпрограмма "Доступная среда"</t>
  </si>
  <si>
    <t>0270010950</t>
  </si>
  <si>
    <t>На обеспечение беспрепятственного доступа к муниципальным учреждениям социальной инфраструктуры (устройство внешних пандусов, входных дверей, установка подъемного устройства, замена лифтов, в том числе проведение необходимых согласований, обустройство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другим оборудованием) в рамках подпрограммы «Доступная среда» муниципальной программы "Система социальной защиты Богучанского района"</t>
  </si>
  <si>
    <t>0270050270</t>
  </si>
  <si>
    <t>Мероприятия государственной программы Российской Федерации «Доступная среда» на 2011 - 2015 годы за счет средств федерального бюджета в рамках подпрограммы «Доступная среда» муниципальной программы «Система социальной защиты Богучанского района»</t>
  </si>
  <si>
    <t>0270082330</t>
  </si>
  <si>
    <t>Софинансирование за счет средств местного бюджета расходов на обеспечение беспрепятственного доступа к муниципальным учреждениям социальной инфраструструктуры (устройство внешних пандусов, входных дверей, установка подъемного устройства, замена лифтов, в том числе проведение необходимых согласований, обустройство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другим оборудованием) в рамках подпрограммы «Доступная среда» муниципальной программы "Система социальной защиты Богучанского района"</t>
  </si>
  <si>
    <t>0310075710</t>
  </si>
  <si>
    <t>Финансирование (возмещение)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"Развитие и модернизация объектов коммунальной инфраструктуры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</si>
  <si>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0350077450</t>
  </si>
  <si>
    <t>За содействие развитию налогового потенциала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</si>
  <si>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0350082360</t>
  </si>
  <si>
    <t>Софинансирование за счет средств местного бюджета расходов за содействие развитию налогового потенциала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</si>
  <si>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0360083010</t>
  </si>
  <si>
    <t>0370080000</t>
  </si>
  <si>
    <t>Отдельные мероприятия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</si>
  <si>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03700Ч0080</t>
  </si>
  <si>
    <t>Межбюджетные трансферты на реализацию отдельных мероприятий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</si>
  <si>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0420080060</t>
  </si>
  <si>
    <t>Устройство летнего противопожарного водопровода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</si>
  <si>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04200Ф0000</t>
  </si>
  <si>
    <t>Расходы на приобретение основных средств, включая предоставление субсидий бюджетным учреждениям на приобретение основных средств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</si>
  <si>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0510051440</t>
  </si>
  <si>
    <t>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"Культурное наследие" муниципальной программы Богучанского района "Развитие культуры"</t>
  </si>
  <si>
    <t>0510074880</t>
  </si>
  <si>
    <t>Комплектование книжных фондов библиотек муниципальных образований Красноярского края в рамках подпрограммы "Культурное наследие" муниципальной программы Богучанского района "Развитие культуры"</t>
  </si>
  <si>
    <t>0510082290</t>
  </si>
  <si>
    <t>Софинансирование за счет средств местного бюджета расходов на 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"Культурное наследие" муниципальной программы Богучанского района "Развитие культуры"</t>
  </si>
  <si>
    <t>05200Ч0070</t>
  </si>
  <si>
    <t>Межбюджетные трансферты на предоставление субсидий бюджетным учреждениям в рамках подпрограммы "Искусство и народное творчество" муниципальной программы Богучанского района "Развитие культуры"</t>
  </si>
  <si>
    <t>0530051470</t>
  </si>
  <si>
    <t>Государственная поддержка муниципальных учреждений культуры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</si>
  <si>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0530051480</t>
  </si>
  <si>
    <t>Государственная поддержка лучших работников муниципальных учреждений культуры, находящихся на территориях сельских поселений,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</si>
  <si>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0530080020</t>
  </si>
  <si>
    <t>Предоставление субсидий бюджетным учреждениям на отдельные мероприятия 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</si>
  <si>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0530080030</t>
  </si>
  <si>
    <t>Приобретение основных средств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</si>
  <si>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0530082290</t>
  </si>
  <si>
    <t>0630050200</t>
  </si>
  <si>
    <t>Реализация мероприятий по обеспечению жильем молодых семей федеральной целевой программы "Жилище" на 2011-2015 годы в рамках подпрограммы "Обеспечение жильем молодых семей в Богучанском районе" муниципальной программы "Молодежь Приангарья"</t>
  </si>
  <si>
    <t>0630074580</t>
  </si>
  <si>
    <t>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</si>
  <si>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0640047000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</si>
  <si>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"Обеспечение реализации муниципальной программы и прочие мероприятия" муниципальной программы "Молодежь Приангарья"</t>
  </si>
  <si>
    <t>0810076070</t>
  </si>
  <si>
    <t>Средства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</si>
  <si>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0910075080</t>
  </si>
  <si>
    <t>Межбюджетные трансферты на содержание автомобильных дорог общего пользования местного значения городских округов, городских и сельских поселений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</si>
  <si>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0910075940</t>
  </si>
  <si>
    <t>Межбюджетные трансферты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 городских и сельских поселений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</si>
  <si>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101</t>
  </si>
  <si>
    <t>Подпрограмма "Переселение граждан из аварийного жилищного фонда в муниципальных образованиях Богучанского района"</t>
  </si>
  <si>
    <t>1010080010</t>
  </si>
  <si>
    <t>Снос жилых домов, признанных в установленном порядке аварийными и подлежащими сносу,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</si>
  <si>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103</t>
  </si>
  <si>
    <t>Подпрограмма "Обеспечение жильем работников бюджетной сферы на территории Богучанского района"</t>
  </si>
  <si>
    <t>1030076080</t>
  </si>
  <si>
    <t>Строительство многоквартирных домов, реконструкцию зданий, в том числе объектов незавершенного строительства, под многоквартирные дома и приобретение жилых помещений у застройщиков для предоставления работникам муниципальных учреждений здравоохранения, образования, культуры, спорта, социальной защиты населения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</si>
  <si>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1030080000</t>
  </si>
  <si>
    <t>Отдельные мероприятия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</si>
  <si>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1030082120</t>
  </si>
  <si>
    <t>Софинансирование за счет средств местного бюджета расходов на строительство многоквартирных домов, реконструкцию зданий, в том числе объектов незавершенного строительства, под многоквартирные дома и приобретение жилых помещений у застройщиков для предоставления работникам муниципальных учреждений здравоохранения, образования, культуры, спорта, социальной защиты населения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</si>
  <si>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1110010210</t>
  </si>
  <si>
    <t>Межбюджетные трансферты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</si>
  <si>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1110010310</t>
  </si>
  <si>
    <t>Межбюджетные трансферты на персональные выплаты, устанавливаемые в целях повышения оплаты труда молодым специалистам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</si>
  <si>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1110077410</t>
  </si>
  <si>
    <t>Межбюджетные трансферты для реализации проектов по благоустройству территорий поселений, городских округов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</si>
  <si>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112006Б000</t>
  </si>
  <si>
    <t>Заработная плата и начисления работников, не являющихся лицами замещающими муниципальные должности, муниципальными служащими в рамках подпрограммы "Обеспечение реализации муниципальной программы" муниципальной программы "Управление муниципальными финансами"</t>
  </si>
  <si>
    <t>1210050550</t>
  </si>
  <si>
    <t>Субсидии на возмещение части процентной ставки по долгосрочным, среднесрочным и краткосрочным кредитам, взятым малыми формами хозяйствования за счет средств федерального бюджета в рамках подпрограммы "Поддержка малых форм хозяйствования" муниципальной программы "Развитие сельского хозяйства в Богучанском районе"</t>
  </si>
  <si>
    <t>1220074510</t>
  </si>
  <si>
    <t>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</si>
  <si>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80200Ч0020</t>
  </si>
  <si>
    <t>Выполнение полномочий поселений по градостроительной деятельности в рамках непрограммных расходов органов местного самоуправления</t>
  </si>
  <si>
    <t>805</t>
  </si>
  <si>
    <t>Обеспечение деятельности главы местной администрации (исполнительно-распорядительного органа муниципального образования) в рамках непрограммных расходов органов местного самоуправления</t>
  </si>
  <si>
    <t>8050060000</t>
  </si>
  <si>
    <t>8050067000</t>
  </si>
  <si>
    <t>Оплата стоимости проезда в отпуск в соответствии с законодательством, главы местной администрации (исполнительно-распорядительного органа муниципального образования) в рамках непрограммных расходов органов местного самоуправления</t>
  </si>
  <si>
    <t>9090082320</t>
  </si>
  <si>
    <t>Софинансирование за счет средств местного бюджета расходов на приведение зданий (помещений) в муниципальных образованиях Красноярского края в соответствие с требованиями, установленными для многофункциональных центров, в рамках непрограмных расходов органов местного самоуправления</t>
  </si>
  <si>
    <t>Отдельные мероприятия в рамках подпрограммы "Обращение с отходами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</si>
  <si>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0820080010</t>
  </si>
  <si>
    <t>Выполнение государственных полномочий по организации деятельности органов управления системой социальной защиты населения в рамках подпрограммы "Обеспечение реализации муниципальной программы и прочие мероприятия" муниципальной программы "Система социальной защиты населения Богучанского района"</t>
  </si>
  <si>
    <t>Расходы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инновационной деятельности на территории Богучанского района"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</si>
  <si>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09200Л0000</t>
  </si>
  <si>
    <t>880</t>
  </si>
  <si>
    <t>Фонд оплаты труда государственных (муниципальных) органов</t>
  </si>
  <si>
    <t>Оплата жилищно-коммунальных услуг за исключением электроэнергии в рамках непрограммных расходов органов местного самоуправления</t>
  </si>
  <si>
    <t>802006Г000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</si>
  <si>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</si>
  <si>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053004Э000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</si>
  <si>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</si>
  <si>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051004Э000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</si>
  <si>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</si>
  <si>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052004Э000</t>
  </si>
  <si>
    <t>Оплата за электроэнергию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</si>
  <si>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011004Э010</t>
  </si>
  <si>
    <t>Оплата за электроэнергию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</si>
  <si>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011004Э020</t>
  </si>
  <si>
    <t>Оплата за электроэнергию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</si>
  <si>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011004Э030</t>
  </si>
  <si>
    <t>Оплата за электроэнергию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</si>
  <si>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за электроэнергию в рамках подпрограммы "Обеспечение реализации муниципальной программы" муниципальной программы "Управление муниципальными финансами"</t>
  </si>
  <si>
    <t>112006Э000</t>
  </si>
  <si>
    <t>0100000000</t>
  </si>
  <si>
    <t>0110000000</t>
  </si>
  <si>
    <t>0130000000</t>
  </si>
  <si>
    <t>0300000000</t>
  </si>
  <si>
    <t>0320000000</t>
  </si>
  <si>
    <t>0330000000</t>
  </si>
  <si>
    <t>0350000000</t>
  </si>
  <si>
    <t>0400000000</t>
  </si>
  <si>
    <t>0410000000</t>
  </si>
  <si>
    <t>0420000000</t>
  </si>
  <si>
    <t>0500000000</t>
  </si>
  <si>
    <t>0510000000</t>
  </si>
  <si>
    <t>0520000000</t>
  </si>
  <si>
    <t>0530000000</t>
  </si>
  <si>
    <t>0600000000</t>
  </si>
  <si>
    <t>0610000000</t>
  </si>
  <si>
    <t>0640000000</t>
  </si>
  <si>
    <t>0700000000</t>
  </si>
  <si>
    <t>0710000000</t>
  </si>
  <si>
    <t>0720000000</t>
  </si>
  <si>
    <t>0800000000</t>
  </si>
  <si>
    <t>0810000000</t>
  </si>
  <si>
    <t>0900000000</t>
  </si>
  <si>
    <t>0910000000</t>
  </si>
  <si>
    <t>0920000000</t>
  </si>
  <si>
    <t>0930000000</t>
  </si>
  <si>
    <t>1000000000</t>
  </si>
  <si>
    <t>1050000000</t>
  </si>
  <si>
    <t>1100000000</t>
  </si>
  <si>
    <t>1110000000</t>
  </si>
  <si>
    <t>1120000000</t>
  </si>
  <si>
    <t>1200000000</t>
  </si>
  <si>
    <t>1210000000</t>
  </si>
  <si>
    <t>1220000000</t>
  </si>
  <si>
    <t>1230000000</t>
  </si>
  <si>
    <t>8000000000</t>
  </si>
  <si>
    <t>8010000000</t>
  </si>
  <si>
    <t>8020000000</t>
  </si>
  <si>
    <t>8030000000</t>
  </si>
  <si>
    <t>8040000000</t>
  </si>
  <si>
    <t>9000000000</t>
  </si>
  <si>
    <t>9010000000</t>
  </si>
  <si>
    <t>9050000000</t>
  </si>
  <si>
    <t>9060000000</t>
  </si>
  <si>
    <t>9090000000</t>
  </si>
  <si>
    <t>Раздел</t>
  </si>
  <si>
    <t>Нормативы</t>
  </si>
  <si>
    <t>№ п/п</t>
  </si>
  <si>
    <t>Наименование доходов</t>
  </si>
  <si>
    <t>муници-пальный район</t>
  </si>
  <si>
    <t>посе-ления</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</si>
  <si>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</si>
  <si>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</si>
  <si>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</si>
  <si>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</si>
  <si>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</si>
  <si>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</si>
  <si>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от уплаты акцизов на дизельное топливо,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</si>
  <si>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моторные масла для дизельных и (или) карбюраторных (инжекторных) двигателей,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</si>
  <si>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автомобильный бензин,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</si>
  <si>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прямогонный бензин, направляемые в уполномоченный территориальный орган Федерального казначейства для распределения в бюджеты субъектов Российской Федерации</t>
  </si>
  <si>
    <t>Единый сельскохозяйственный налог (за налоговые периоды, истекшие до 1 января 2011 года)***</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</si>
  <si>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</si>
  <si>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</si>
  <si>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сбросы загрязняющих веществ в водные объекты</t>
  </si>
  <si>
    <t>Плата за иные виды негативного воздействия на окружающую среду</t>
  </si>
  <si>
    <t>Плата за выбросы загрязняющих веществ, образующихся при сжигании на факельных установках и (или) рассеивании попутного нефтяного газа</t>
  </si>
  <si>
    <t>(в процентах)</t>
  </si>
  <si>
    <t xml:space="preserve">Налог на имущество физических лиц, в границах  межселенной территории </t>
  </si>
  <si>
    <t>Налог на имущество физических лиц, в границах  поселений</t>
  </si>
  <si>
    <t>Государственная пошлина за совершение нотариальных действий (за исключением действий, совершаемых консульскими учреждениями РФ)</t>
  </si>
  <si>
    <t>ЗАДОЛЖЕННОСТЬ И ПЕРЕРАСЧЕТЫ ПО ОТМЕНЕННЫМ НАЛОГАМ, СБОРАМ И ИНЫМ ОБЯЗАТЕЛЬНЫМ ПЛАТЕЖАМ:</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</si>
  <si>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автономных учреждений)</t>
  </si>
  <si>
    <t>Невыясненные поступления бюджетов муниципальных районов</t>
  </si>
  <si>
    <t>Невыясненные поступления бюджетов поселений</t>
  </si>
  <si>
    <t xml:space="preserve">** акцизы распределяются в централизованном порядке по дифференцированным нормативам </t>
  </si>
  <si>
    <t>и плановый период 2017-2018 годов»</t>
  </si>
  <si>
    <t xml:space="preserve">в местные бюджеты в соответствии с приложением  к  Закону края «О краевом бюджете на 2016 год </t>
  </si>
  <si>
    <t>Денежные взыскания, налагаемые в возмещение ущерба, причиненного в результате незаконного или нецелевого использования бюджетных средств ( в части бюджетов муниципальных районов)</t>
  </si>
  <si>
    <t>Денежные взыскания, налагаемые в возмещение ущерба, причиненного в результате незаконного или нецелевого использования бюджетных средств ( в части бюджетов поселений)</t>
  </si>
  <si>
    <t>Земельный налог с организаций, в границах межселенных территорий</t>
  </si>
  <si>
    <t>Земельный налог с физических лиц, в границиах межселенных территорий</t>
  </si>
  <si>
    <t xml:space="preserve">890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</si>
  <si>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</si>
  <si>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</si>
  <si>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119</t>
  </si>
  <si>
    <t>Уплата иных платежей</t>
  </si>
  <si>
    <t>853</t>
  </si>
  <si>
    <t>113</t>
  </si>
  <si>
    <t>Администрация Манзенского сельсовета</t>
  </si>
  <si>
    <t>ВСЕГО:</t>
  </si>
  <si>
    <t>Муниципальное казенное учреждение "Централизованная бухгалтерия"</t>
  </si>
  <si>
    <t>Обеспечение деятельности муниципального казенного учреждения в рамках непрограммных расходов</t>
  </si>
  <si>
    <t>9070000000</t>
  </si>
  <si>
    <t>2019 год</t>
  </si>
  <si>
    <t>15001</t>
  </si>
  <si>
    <t>20000</t>
  </si>
  <si>
    <t>29999</t>
  </si>
  <si>
    <t>88**</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</si>
  <si>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</si>
  <si>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межбюджетные трансферты на осуществление полномочий по формированию, исполнению бюджетов поселений и контролю за их исполнением</t>
  </si>
  <si>
    <t>софин</t>
  </si>
  <si>
    <t>Оплата за электроэнергию в рамках непрограммных расходов органов местного самоуправления</t>
  </si>
  <si>
    <t>802006Э000</t>
  </si>
  <si>
    <t>Молодежная политика</t>
  </si>
  <si>
    <t>9070040000</t>
  </si>
  <si>
    <t>Дополнительное образование детей</t>
  </si>
  <si>
    <t>0703</t>
  </si>
  <si>
    <t xml:space="preserve">Решение Богучанского районного  Совета депутатов от 16.06.2016г. № 8/1-56 «Об утверждении Положения о почетном звании «Почетный гражданин Богучанского района» </t>
  </si>
  <si>
    <t>в том числе:</t>
  </si>
  <si>
    <t>за счет собственных средств районного бюджета</t>
  </si>
  <si>
    <t xml:space="preserve">Налог на прибыль организаций (за исключением консолидированных групп налогоплательщиков), зачисляемый в бюджеты субъектов Российской Федерации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</si>
  <si>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</si>
  <si>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гражданами,осуществляющимим трудовую деятельность по найму у физических лиц на основании патента в соответствии со статьей 227.1 Налогового кодекса РФ</t>
  </si>
  <si>
    <t>Земельный налог с организаций</t>
  </si>
  <si>
    <t>06030</t>
  </si>
  <si>
    <t>Земельный налог с физических лиц</t>
  </si>
  <si>
    <t>06040</t>
  </si>
  <si>
    <t>НАЛОГ НА ПРИБЫЛЬ ОРГАНИЗАЦИЙ</t>
  </si>
  <si>
    <t>НАЛОГ НА ДОХОДЫ ФИЗИЧЕСКИХ ЛИЦ</t>
  </si>
  <si>
    <t>НАЛОГИ НА ТОВАРЫ (РАБОТЫ, УСЛУГИ), РЕАЛИЗУЕМЫЕ НА ТЕРРИТОРИИ РОССИЙСКОЙ ФЕДЕРАЦИИ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</si>
  <si>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</si>
  <si>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</si>
  <si>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</si>
  <si>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</si>
  <si>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</si>
  <si>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</si>
  <si>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Плата за негативное воздействие на окружающую среду</t>
  </si>
  <si>
    <t>ДОХОДЫ ОТ ОКАЗАНИЯ ПЛАТНЫХ УСЛУГ (РАБОТ) И КОМПЕНСАЦИИ ЗАТРАТ ГОСУДАРСТВА</t>
  </si>
  <si>
    <t>Доходы от оказаниы платных услуг (работ)</t>
  </si>
  <si>
    <t>Прочие доходы от оказания платных услуг (работ)</t>
  </si>
  <si>
    <t>01990</t>
  </si>
  <si>
    <t>Доходы от компенсации затрат государства</t>
  </si>
  <si>
    <t>Доходы, поступающие в порядке возмещения расходов, понесенных в связи с эксплуатацией имущества</t>
  </si>
  <si>
    <t>02060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</si>
  <si>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</si>
  <si>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</si>
  <si>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</si>
  <si>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</si>
  <si>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</si>
  <si>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</si>
  <si>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Прочие доходы от оказания платных услуг (работ) получателями средств  бюджетов муниципальных районов </t>
  </si>
  <si>
    <t>01 03 01 00 05 0000 710</t>
  </si>
  <si>
    <t>01 03 01 00 05 0000 810</t>
  </si>
  <si>
    <t>Государственная пошлина за выдачу разрешения на установку рекламной конструкции (основной платеж)</t>
  </si>
  <si>
    <t>Прочие неналоговые доходы бюджетов муниципальных районов (по основному платежу)</t>
  </si>
  <si>
    <t>Прочие неналоговые доходы бюджетов муниципальных районов ( по основному платежу)</t>
  </si>
  <si>
    <t>Доходы бюджетов муниципальных районов от возврата бюджетными учреждениями остатков субсидий прошлых лет (по целевым средствам прошлых лет (ЦСР 5210212, 0227564, 0220075640))</t>
  </si>
  <si>
    <t>Прочие неналоговые доходы бюджетов муниципальных районов( по основному платежу)</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</si>
  <si>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</si>
  <si>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обеспечение первичных мер пожарной безопасности)</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</si>
  <si>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</si>
  <si>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</si>
  <si>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890 01 03 01 00 05 0000 710</t>
  </si>
  <si>
    <t>890 01 03 01 00 05 0000 810</t>
  </si>
  <si>
    <t>0120075520</t>
  </si>
  <si>
    <t>0130040000</t>
  </si>
  <si>
    <t>0130041000</t>
  </si>
  <si>
    <t>0130047000</t>
  </si>
  <si>
    <t>013004Г000</t>
  </si>
  <si>
    <t>0130060000</t>
  </si>
  <si>
    <t>0130067000</t>
  </si>
  <si>
    <t>0130040050</t>
  </si>
  <si>
    <t>0120000000</t>
  </si>
  <si>
    <t>0100</t>
  </si>
  <si>
    <t>Оплата стоимости проезда в отпуск в соответствии с законодательством, депутатов представительного органа муниципального образования в рамках непрограммных расходов органов местного самоуправления</t>
  </si>
  <si>
    <t>0300</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</si>
  <si>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</si>
  <si>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</si>
  <si>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0400</t>
  </si>
  <si>
    <t>0500</t>
  </si>
  <si>
    <t>0700</t>
  </si>
  <si>
    <t>1000</t>
  </si>
  <si>
    <t>1100</t>
  </si>
  <si>
    <t>Оплата стоимости проезда в отпуск в соответствии с законодательством, работников муниципального казенного учреждения в рамках непрограммых расходов</t>
  </si>
  <si>
    <t>9070047000</t>
  </si>
  <si>
    <t>Иные выплаты персоналу учреждений, за исключением фонда оплаты труда</t>
  </si>
  <si>
    <t>0800</t>
  </si>
  <si>
    <t>Оплата жилищно-коммунальных услуг за исключением электроэнергии,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</si>
  <si>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011004Г040</t>
  </si>
  <si>
    <t>Оплата за электроэнергию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</si>
  <si>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011004Э040</t>
  </si>
  <si>
    <t>013004Э000</t>
  </si>
  <si>
    <t>0200</t>
  </si>
  <si>
    <t>МЕЖБЮДЖЕТНЫЕ ТРАНСФЕРТЫ ОБЩЕГО ХАРАКТЕРА БЮДЖЕТАМ БЮДЖЕТНОЙ СИСТЕМЫ РОССИЙСКОЙ ФЕДЕРАЦИИ</t>
  </si>
  <si>
    <t>1400</t>
  </si>
  <si>
    <t>7413</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</si>
  <si>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</si>
  <si>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дороги с</t>
  </si>
  <si>
    <t>пожарка</t>
  </si>
  <si>
    <t>На реализацию отдельных мер по обеспечению ограничения платы граждан за коммунальные услуги,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</si>
  <si>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Исполнение судебных актов Российской Федерации и мировых соглашений по возмещению причиненного вреда</t>
  </si>
  <si>
    <t>0430000000</t>
  </si>
  <si>
    <t>Дотации бюджетам на поддержку мер по обеспечению сбалансированности бюджетов</t>
  </si>
  <si>
    <t>15002</t>
  </si>
  <si>
    <t>Безвозмездные поступления от негосударственных организаций</t>
  </si>
  <si>
    <t>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</si>
  <si>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муниципальных районов</t>
  </si>
  <si>
    <t>Муниципальное казенное учреждение "Муниципальная пожарная часть № 1"</t>
  </si>
  <si>
    <t>государств гарантии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</si>
  <si>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</si>
  <si>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</si>
  <si>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</si>
  <si>
    <t>Расходы на 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</si>
  <si>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1220080010</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</si>
  <si>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</si>
  <si>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0710040000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</si>
  <si>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</si>
  <si>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0710041000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</si>
  <si>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</si>
  <si>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0710047000</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</si>
  <si>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</si>
  <si>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071004Г000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</si>
  <si>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</si>
  <si>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071004Э000</t>
  </si>
  <si>
    <t>Выполнение полномочий поселения по организации и проведения районных спортивно-массовых мероприятий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</si>
  <si>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07100Ч0020</t>
  </si>
  <si>
    <t>Выполнение государственных полномочий по обеспечению отдыха и оздоровления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</si>
  <si>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0110076490</t>
  </si>
  <si>
    <t>Расходы на выплаты персоналу казенных учреждений</t>
  </si>
  <si>
    <t>Судебная система</t>
  </si>
  <si>
    <t>0105</t>
  </si>
  <si>
    <t>9040000000</t>
  </si>
  <si>
    <t xml:space="preserve">межбюджетные трансферты на осуществление (возмещение расходов по осуществлению) части полномочий по обеспечению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t>
  </si>
  <si>
    <t>Всего расходов:</t>
  </si>
  <si>
    <t>Иные закупки товаров, работ и услуг для обеспечения государственных (муниципальных) нужд</t>
  </si>
  <si>
    <t>240</t>
  </si>
  <si>
    <t>Субсидии бюджетным учреждениям</t>
  </si>
  <si>
    <t>610</t>
  </si>
  <si>
    <t>Социальные выплаты гражданам, кроме публичных нормативных социальных выплат</t>
  </si>
  <si>
    <t>Уплата налогов, сборов и иных платежей</t>
  </si>
  <si>
    <t>850</t>
  </si>
  <si>
    <t>Расходы на выплаты персоналу государственных (муниципальных) органов</t>
  </si>
  <si>
    <t>Публичные нормативные социальные выплаты гражданам</t>
  </si>
  <si>
    <t>310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</si>
  <si>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</si>
  <si>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Бюджетные инвестиции</t>
  </si>
  <si>
    <t>Дотации</t>
  </si>
  <si>
    <t>510</t>
  </si>
  <si>
    <t>Исполнение судебных актов</t>
  </si>
  <si>
    <t>Государственная пошлина за выдачу разрешения на установку рекламной конструкции</t>
  </si>
  <si>
    <t>07150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</si>
  <si>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</si>
  <si>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содержание автомобильных дорог общего пользования местного значения за счет средств дорожного фонда Красноярского края)</t>
  </si>
  <si>
    <t xml:space="preserve">Решение районного Совета депутатов от 16.03.2017г. № 14/1-98 «Об утверждении Порядка назначения  перерасчета размера  и выплаты  пенсии за выслугу лет  лицам замещавшим должности   муниципальной службы в муниципальном образовании Богучанский район, и порядка  введения сводного  реестра  лиц,  являющихся получателями пенсии за выслугу лет выплачиваемой  за счет средств  районного бюджета" 
</t>
  </si>
  <si>
    <t>Оплата жилищно-коммунальных услуг за исключением электроэнергии,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</si>
  <si>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064004Г000</t>
  </si>
  <si>
    <t>Оплата за электроэнергию,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</si>
  <si>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064004Э000</t>
  </si>
  <si>
    <t>Возврат остатков субвенций на осуществление первичного воинского учета на территориях, где отсутствуют военные комиссариаты из бюджетов муниципальных районов</t>
  </si>
  <si>
    <t>Доходы бюджетов муниципальных районов от возврата остатков субвенций на осуществление первичного воинского учета на территориях, где отсутствуют военные комиссариаты из бюджетов поселений</t>
  </si>
  <si>
    <t>Прочие доходы от компенсации затрат бюджетов муниципальных районов</t>
  </si>
  <si>
    <t>Прочая закупка товаров, работ и услуг</t>
  </si>
  <si>
    <t>04200S4120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</si>
  <si>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</si>
  <si>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</si>
  <si>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09100S5080</t>
  </si>
  <si>
    <t>Физическая культура</t>
  </si>
  <si>
    <t>1101</t>
  </si>
  <si>
    <t xml:space="preserve">Администрация Чуноярского сельсовета </t>
  </si>
  <si>
    <t>06300L4970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</si>
  <si>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</si>
  <si>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Плата за размещение отходов производства</t>
  </si>
  <si>
    <t>01041</t>
  </si>
  <si>
    <t>Администрация Невонского  сельсовета</t>
  </si>
  <si>
    <t xml:space="preserve">Управление образования администрации Богучанского района Красноярского края </t>
  </si>
  <si>
    <t xml:space="preserve">Управление муниципальной собственностью Богучанского района </t>
  </si>
  <si>
    <t xml:space="preserve">Администрация Богучанского района </t>
  </si>
  <si>
    <t>Муниципальная программа "Развитие инвестиционной деятельности, малого и среднего предпринимательства на территории Богучанского района"</t>
  </si>
  <si>
    <t>1 13 02995 05 0000 130</t>
  </si>
  <si>
    <t>Администрация Белякинского сельского совета</t>
  </si>
  <si>
    <t>Администрация Осиновомысского  сельсовета</t>
  </si>
  <si>
    <t>Администрация Таежнинского  сельсовета</t>
  </si>
  <si>
    <t>2021 год</t>
  </si>
  <si>
    <t>150</t>
  </si>
  <si>
    <t>1 14 02053 05 1000 440</t>
  </si>
  <si>
    <t>2 18 60010 05 0000 150</t>
  </si>
  <si>
    <t>2 18 60010 05 7514 150</t>
  </si>
  <si>
    <t>2 18 60010 05 7412 150</t>
  </si>
  <si>
    <t>2 18 60010 05 7508 150</t>
  </si>
  <si>
    <t>2 18 60010 05 7509 150</t>
  </si>
  <si>
    <t>2 19 35118 05 0000 150</t>
  </si>
  <si>
    <t>2 19 60010 05 0000 150</t>
  </si>
  <si>
    <t>2 19 60010 05 9911 150</t>
  </si>
  <si>
    <t>2 02 15002 05 0000 150</t>
  </si>
  <si>
    <t xml:space="preserve"> 2 02 20299 05 0000 150</t>
  </si>
  <si>
    <t>2 02 20302 05 0000 150</t>
  </si>
  <si>
    <t>2 02 25097 05 0000 150</t>
  </si>
  <si>
    <t>2 02 25467 05 0000 150</t>
  </si>
  <si>
    <t>2 02 25497 05 0000 150</t>
  </si>
  <si>
    <t>2 02 25519 05 0000 150</t>
  </si>
  <si>
    <t>2 02 29999 05 1049 150</t>
  </si>
  <si>
    <t>2 02 29999 05 7397 150</t>
  </si>
  <si>
    <t>2 02 29999 05 7398 150</t>
  </si>
  <si>
    <t>2 02 29999 05 7412 150</t>
  </si>
  <si>
    <t>2 02 29999 05 7413 150</t>
  </si>
  <si>
    <t>2 02 29999 05 7456 150</t>
  </si>
  <si>
    <t>2 02 29999 05 7466 150</t>
  </si>
  <si>
    <t>2 02 29999 05 7492 150</t>
  </si>
  <si>
    <t>2 02 29999 05 7494 150</t>
  </si>
  <si>
    <t>2 02 29999 05 7508 150</t>
  </si>
  <si>
    <t>2 02 29999 05 7509 150</t>
  </si>
  <si>
    <t>2 02 29999 05 7555 150</t>
  </si>
  <si>
    <t>2 02 29999 05 7563 150</t>
  </si>
  <si>
    <t>2 02 29999 05 7571 150</t>
  </si>
  <si>
    <t>2 02 29999 05 7580 150</t>
  </si>
  <si>
    <t>2 02 29999 05 7607 150</t>
  </si>
  <si>
    <t>2 02 29999 05 7741 150</t>
  </si>
  <si>
    <t>2 02 29999 05 7749 150</t>
  </si>
  <si>
    <t xml:space="preserve"> 2 02 30024 05 7408 150</t>
  </si>
  <si>
    <t xml:space="preserve"> 2 02 30024 05 7409 150</t>
  </si>
  <si>
    <t>2 02 30024 05 7429 150</t>
  </si>
  <si>
    <t>2 02 30024 05 7467 150</t>
  </si>
  <si>
    <t>2 02 30024 05 7513 150</t>
  </si>
  <si>
    <t>2 02 30024 05 7514 150</t>
  </si>
  <si>
    <t>2 02 30024 05 7517 150</t>
  </si>
  <si>
    <t>2 02 30024 05 7518 150</t>
  </si>
  <si>
    <t>2 02 30024 05 7519 150</t>
  </si>
  <si>
    <t>2 02 30024 05 7552 150</t>
  </si>
  <si>
    <t>2 02 30024 05 7554 150</t>
  </si>
  <si>
    <t>2 02 30024 05 7564 150</t>
  </si>
  <si>
    <t>2 02 30024 05 7566 150</t>
  </si>
  <si>
    <t>2 02 30024 05 7570 150</t>
  </si>
  <si>
    <t>2 02 30024 05 7577 150</t>
  </si>
  <si>
    <t>2 02 30024 05 7588 150</t>
  </si>
  <si>
    <t>2 02 30024 05 7601 150</t>
  </si>
  <si>
    <t xml:space="preserve"> 2 02 30024 05 7604 150</t>
  </si>
  <si>
    <t xml:space="preserve"> 2 02 30024 05 7649 150</t>
  </si>
  <si>
    <t>2 02 30029 05 0000 150</t>
  </si>
  <si>
    <t>2 02 35120 05 0000 150</t>
  </si>
  <si>
    <t>2 02 35118 05 0000 150</t>
  </si>
  <si>
    <t>2 02 40014 05 0000 150</t>
  </si>
  <si>
    <t>2 02 49999 05 7745 150</t>
  </si>
  <si>
    <t>2 02 30024 05 2438 150</t>
  </si>
  <si>
    <t>2 02 49999 05 9009 150</t>
  </si>
  <si>
    <t>2 19 35120 05 0000 150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</si>
  <si>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районов</t>
  </si>
  <si>
    <t>Функционирование высшего должностного лица субъекта Российской Федерации и муниципального образования</t>
  </si>
  <si>
    <t>Расходы на информационно-консультационную поддержку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</si>
  <si>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0820000000</t>
  </si>
  <si>
    <t>Расходы на обеспечение систематического широкого освещения информации о реализации мероприятий в СМИ в рамках подпрограммы "Обеспечение реализации муниципальной программы и прочие мероприятия" муниципальной программы "Развитие инвестиционной деятельности, малого и среднего предпринимательства на территории Богучанского района"</t>
  </si>
  <si>
    <t>0820080030</t>
  </si>
  <si>
    <t>0340000000</t>
  </si>
  <si>
    <t>Расходы на отдельные мероприятия за счет средств от доходов по подвозу воды населению,предприятиям, организациям,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</si>
  <si>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0320080090</t>
  </si>
  <si>
    <t>Расходы на оплату ЖКУ за исключением электроэнергии, за счет средств от доходов по подвозу воды населению,предприятиям, организациям,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</si>
  <si>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032008Г090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</si>
  <si>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</si>
  <si>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обеспечения государственных (муниципальных) нужд</t>
  </si>
  <si>
    <t>200</t>
  </si>
  <si>
    <t>Иные бюджетные ассигнования</t>
  </si>
  <si>
    <t>800</t>
  </si>
  <si>
    <t>Социальное обеспечение и иные выплаты населению</t>
  </si>
  <si>
    <t>300</t>
  </si>
  <si>
    <t>Капитальные вложения в объекты государственной (муниципальной) собственности</t>
  </si>
  <si>
    <t>400</t>
  </si>
  <si>
    <t>Предоставление субсидий бюджетным, автономным учреждениям и иным некоммерческим организациям</t>
  </si>
  <si>
    <t>600</t>
  </si>
  <si>
    <t>Межбюджетные трансферты</t>
  </si>
  <si>
    <t>500</t>
  </si>
  <si>
    <t>Раздел Подраздел</t>
  </si>
  <si>
    <t>Код ведомства</t>
  </si>
  <si>
    <t>Целевая статья</t>
  </si>
  <si>
    <t>Вид расходов</t>
  </si>
  <si>
    <t>Наименование главных распорядителей и наименование показателей бюджетной классификации</t>
  </si>
  <si>
    <t>Наименование показателя бюджетной классификации</t>
  </si>
  <si>
    <t>Раздел подраздел</t>
  </si>
  <si>
    <t>межбюджетные трансферты  на осуществление внутреннего муниципального финансового контроля органов местного самоуправления поселений, входящих в состав муниципального образования Богучанский район</t>
  </si>
  <si>
    <t>2022 год</t>
  </si>
  <si>
    <t xml:space="preserve"> 2021 год</t>
  </si>
  <si>
    <t>04100S4130</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</si>
  <si>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</si>
  <si>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813</t>
  </si>
  <si>
    <t>08100S6070</t>
  </si>
  <si>
    <t>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</si>
  <si>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Средства на организацию и осуществление деятельности по опеке и попечительству в отношении совершеннолетних граждан, а также в сфере патронажа в рамках непрограммных расходов органов местного самоуправления</t>
  </si>
  <si>
    <t>8020002890</t>
  </si>
  <si>
    <t>Муниципальное казенное учреждение "Управление культуры, физической культуры, спорта и молодежной политики Богучанского района"</t>
  </si>
  <si>
    <t>06400S4560</t>
  </si>
  <si>
    <t>Софинансирование расходов 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</si>
  <si>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Муниципальная программа "Развитие физической культуры и спорта в Богучанском районе"</t>
  </si>
  <si>
    <t>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края от 24 декабря 2009 года № 9-4225), за счет средств краевого бюджета, в рамках подпрограммы "Государственная поддержка детей-сирот, расширение практики применения семейных форм воспитания" муниципальной программы "Развитие образования Богучанского района"</t>
  </si>
  <si>
    <t>0120075870</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</si>
  <si>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</si>
  <si>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</si>
  <si>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</si>
  <si>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</si>
  <si>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01100S5630</t>
  </si>
  <si>
    <t>01100S5980</t>
  </si>
  <si>
    <t>Выполнение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</si>
  <si>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</si>
  <si>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</si>
  <si>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подведомственных учреждений не ниже размера минимальной заработной платы (минимального размера оплаты труда)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</si>
  <si>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0420041010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</si>
  <si>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оплаты проезда,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</si>
  <si>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0420047010</t>
  </si>
  <si>
    <t>Оплата за электроэнергию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</si>
  <si>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042004Э010</t>
  </si>
  <si>
    <t>Расходы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за счет средств от доходов по подвозу воды населению,предприятиям, организациям,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</si>
  <si>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0320081090</t>
  </si>
  <si>
    <t>Муниципальная программа Богучанского района "Управление муниципальными финансами"</t>
  </si>
  <si>
    <t>Расходы на осуществление внутреннего муниципального финансового контроля органов местного самоуправления поселений, входящих в состав муниципального образования Богучанский район, в рамках подпрограммы "Обеспечение реализации муниципальной программы" муниципальной программы "Управление муниципальными финансами"</t>
  </si>
  <si>
    <t>11200Ч0070</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</si>
  <si>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Богучанского района"</t>
  </si>
  <si>
    <t>Субсидии бюджетам поселений Богучанского района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</si>
  <si>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09100S5090</t>
  </si>
  <si>
    <t>Дотации поселениям на выравнивание бюджетной обеспеченности за счет средств субвенции из краевого бюджета на осуществление отдельных государственных полномочий по расчету и предоставлению дотаций поселениям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</si>
  <si>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1110010490</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</si>
  <si>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</si>
  <si>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</si>
  <si>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01011</t>
  </si>
  <si>
    <t>Налог, взимаемый с налогоплательщиков, выбравших в качестве объекта налогообложения доходы, уменьшенные на величину расходов</t>
  </si>
  <si>
    <t>01020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</si>
  <si>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</si>
  <si>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</si>
  <si>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</si>
  <si>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01060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</si>
  <si>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</si>
  <si>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01063</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</si>
  <si>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</si>
  <si>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01080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</si>
  <si>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</si>
  <si>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</si>
  <si>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10100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</si>
  <si>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действующим до 1 января 2020 года</t>
  </si>
  <si>
    <t>10120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</si>
  <si>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t>
  </si>
  <si>
    <t>10123</t>
  </si>
  <si>
    <t>Субсидия бюджетам муниципальных районов на поддержку отрасли культуры (комплектование книжных фондов муниципальных общедоступных библиотек)</t>
  </si>
  <si>
    <t>Субвенции бюджетам бюджетной системы Российской Федерации</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</si>
  <si>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</si>
  <si>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районов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соответствии с Законом края от 29 марта 2007 года № 22-6015),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</si>
  <si>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</si>
  <si>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</si>
  <si>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перечень субсидий</t>
  </si>
  <si>
    <t>Раздел, подраздел</t>
  </si>
  <si>
    <t>Всего</t>
  </si>
  <si>
    <t>Получение кредитов от кредитных организаций бюджетами муниципальных районов в валюте Российской Федерации</t>
  </si>
  <si>
    <t>Погашение бюджетами муниципальных районов кредитов от кредитных организаций в валюте Российской Федерации</t>
  </si>
  <si>
    <t>Получение кредитов от других бюджетов бюджетной системы Российской Федерации бюджетами муниципальных районов в валюте Российской Федерации</t>
  </si>
  <si>
    <t>1 16 10100 05 0000 140</t>
  </si>
  <si>
    <t>1 16 10031 05 0000 140</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</si>
  <si>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</si>
  <si>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1 16 07010 05 0000 140</t>
  </si>
  <si>
    <t>1 16 10061 05 0000 140</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</si>
  <si>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</si>
  <si>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2  04 05099 05 9904 150</t>
  </si>
  <si>
    <t>2 07 05020 05 9904 150</t>
  </si>
  <si>
    <t>2 18 05030 05 9009 150</t>
  </si>
  <si>
    <t>2 18 05030 05 9964 150</t>
  </si>
  <si>
    <t>2 18 05030 05 9972 150</t>
  </si>
  <si>
    <t>2 18 05030 05 9967 150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</si>
  <si>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</si>
  <si>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1 16 10032 05 0000 140</t>
  </si>
  <si>
    <t>1 16 07090 05 0000 140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</si>
  <si>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</si>
  <si>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2 18 05030 05 9954 150</t>
  </si>
  <si>
    <t>2 18 05030 05 9955 150</t>
  </si>
  <si>
    <t>2 18 05030 05 9956 150</t>
  </si>
  <si>
    <t>2 18 05030 05 9957 150</t>
  </si>
  <si>
    <t>2 07 05030 05 9903 150</t>
  </si>
  <si>
    <t>2 07 05030 05 9904 150</t>
  </si>
  <si>
    <t>2 18 05010 05 9009 150</t>
  </si>
  <si>
    <t>2 18 05010 05 9954 150</t>
  </si>
  <si>
    <t>1 16 10100 10 0000 140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</si>
  <si>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</si>
  <si>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2 02 25228 05 0000 150</t>
  </si>
  <si>
    <t>2 02 25555 05 0000 150</t>
  </si>
  <si>
    <t>2 02 29999 05 7454 150</t>
  </si>
  <si>
    <t>2 02 29999 05 7463 150</t>
  </si>
  <si>
    <t>2 02 29999 05 7488 150</t>
  </si>
  <si>
    <t>2 02 29999 05 7553 150</t>
  </si>
  <si>
    <t>2 02 30024 05 0289 150</t>
  </si>
  <si>
    <t>2 02 30024 05 7587 150</t>
  </si>
  <si>
    <t>2 08 05000 05 0000 150</t>
  </si>
  <si>
    <t xml:space="preserve">2 18 35118 05 0000 150 </t>
  </si>
  <si>
    <t>2 02 15001 05 0000 150</t>
  </si>
  <si>
    <t>2 02 19999 05 0000 150</t>
  </si>
  <si>
    <t>Прочие дотации бюджетам муниципальных районов</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</si>
  <si>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</si>
  <si>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</si>
  <si>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Субсидии бюджетам муниципальных районов на оснащение объектов спортивной инфраструктуры спортивно-технологическим оборудованием</t>
  </si>
  <si>
    <t>Субсидии бюджетам муниципальных районов на реализацию мероприятий по обеспечению жильем молодых семей</t>
  </si>
  <si>
    <t>Субсидии бюджетам муниципальных районов на реализацию программ формирования современной городской среды</t>
  </si>
  <si>
    <t>2 18 05010 05 9975 150</t>
  </si>
  <si>
    <t>10000</t>
  </si>
  <si>
    <t>Дотации бюджетам бюджетной системы Российской Федерации</t>
  </si>
  <si>
    <t>код главного администратора</t>
  </si>
  <si>
    <t>код группы</t>
  </si>
  <si>
    <t>код подгруппы</t>
  </si>
  <si>
    <t>код статьи и подстатьи</t>
  </si>
  <si>
    <t>код элемента</t>
  </si>
  <si>
    <t>код группы подвида</t>
  </si>
  <si>
    <t>код аналитической группы подвида</t>
  </si>
  <si>
    <t>Наименование кода классификации доходов бюджета</t>
  </si>
  <si>
    <t>Код классификации доходов бюджета</t>
  </si>
  <si>
    <t>1 13 02995 05 9906 130</t>
  </si>
  <si>
    <t>Прочие доходы от компенсации затрат бюджетов муниципальных районов (возмещение расходов на выплату страхового обеспечения)</t>
  </si>
  <si>
    <t>2 02 29999 05 1048 150</t>
  </si>
  <si>
    <t>Расходы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</si>
  <si>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04200S4121</t>
  </si>
  <si>
    <t>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</si>
  <si>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011Е151690</t>
  </si>
  <si>
    <t>Средства на повышение размеров оплаты труда работников, относящихся к отдельным должностям (профессиям) работников (рабочих) культуры, в муниципальных образовательных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</si>
  <si>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0110040032</t>
  </si>
  <si>
    <t>Средства на увеличение размеров оплаты труда педагогических работников муниципальных учреждений дополнительного образования, реализующих программы дополнительного образования детей, и непосредственно осуществляющих тренировочный процесс работников муниципальных спортивных школ,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</si>
  <si>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0110040033</t>
  </si>
  <si>
    <t>Расходы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</si>
  <si>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Субвенции на осуществление органами местного самоуправления поселений Богучанского района государственных полномочий по созданию и обеспечению деятельности административных комиссий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</si>
  <si>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Субсидии бюджетам поселений Богучанского района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</si>
  <si>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Субсидии бюджетам поселений Богучанского района на содержание автомобильных дорог общего пользования местного значения в рамках подпрограммы "Дороги Богучанского района" муниципальной программы "Развитие транспортной системы Богучанского района"</t>
  </si>
  <si>
    <t>Предоставление иных межбюджетных трансфертов бюджетам поселений Богучанского района из районного бюджета на реализацию мероприятий по трудовому воспитанию несовершеннолетних граждан в возрасте от 14 до 18 лет на территории Богучанкого района, в рамках подпрограммы "Вовлечение молодежи Богучанского района в социальную практику" муниципальной программы "Молодежь Приангарья"</t>
  </si>
  <si>
    <t>Субсидии бюджетам поселений Богучанского района на организацию и проведение акарицидных обработок мест массового отдыха населения,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</si>
  <si>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11100S5550</t>
  </si>
  <si>
    <t>Субсидии бюджетам поселений Богучанского района на частичное финансирование (возмещение) расходов на региональные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</si>
  <si>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Предоставление иных межбюджетных трансфертов на поддержку мер по обеспечению сбалансированности бюджетов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</si>
  <si>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25169</t>
  </si>
  <si>
    <t>2 02 25169 05 0000 150</t>
  </si>
  <si>
    <t>2 02 29999 05 1598 150</t>
  </si>
  <si>
    <t>116 10123 01 0000 140</t>
  </si>
  <si>
    <t>116 10061 05 0000 140</t>
  </si>
  <si>
    <t>116 10081 05 0000 140</t>
  </si>
  <si>
    <t>Платежи в целях возмещения ущерба при расторжении муниципального контракта, заключенного с муниципальным органом муниципального района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</si>
  <si>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1 13 02995 05 9009 130</t>
  </si>
  <si>
    <t>2 02 25210 05 0000 150</t>
  </si>
  <si>
    <t>Субсидии бюджетам муниципальных образований на 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</si>
  <si>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2 02 29999 05 1060 150</t>
  </si>
  <si>
    <t>2 02 49999 05 7424 150</t>
  </si>
  <si>
    <t>2 02 29999 05 7459 150</t>
  </si>
  <si>
    <t>035008Ф000</t>
  </si>
  <si>
    <t>03500S5710</t>
  </si>
  <si>
    <t>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</si>
  <si>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05300L4670</t>
  </si>
  <si>
    <t>06200S4540</t>
  </si>
  <si>
    <t>Субсидии бюджетам поселений Богучанского района на реализацию мероприятий, направленных на повышение безопасности дорожного движения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</si>
  <si>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093R310601</t>
  </si>
  <si>
    <t>Субсидии бюджетам поселений Богучанского района на финансирование расходов формирования современной городской (сельской) среды в поселениях,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</si>
  <si>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11100S4590</t>
  </si>
  <si>
    <t>Оплата услуг регионального оператора по обращению с ТКО (твердые коммунальные отходы) в рамках непрограммных расходов органов местного самоуправления</t>
  </si>
  <si>
    <t>802006М000</t>
  </si>
  <si>
    <t>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</si>
  <si>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Частичное финансирование (возмещение) расходов на содержание единых дежурно-диспетчерских служб муниципальных образований Красноярского края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</si>
  <si>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Средства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</si>
  <si>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Финансирование расходов на строительство и (или) реконструкцию объектов коммунальной инфраструктуры, находящихся в муниципальной собственности, используемых в сфере водоснабжения, водоотведения и очистки сточных вод,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</si>
  <si>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Расходы на поддержку деятельности муниципальных молодежных центров в рамках подпрограммы "Вовлечение молодежи Богучанского района в социальную практику" муниципальной программы "Молодежь Приангарья"</t>
  </si>
  <si>
    <t>Финансирование расходов 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</si>
  <si>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Финансирование расходов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Богучанского района" муниципальной программы "Молодежь Приангарья"</t>
  </si>
  <si>
    <t>2 02 49999 05 5519 150</t>
  </si>
  <si>
    <t>2 02 29999 05 7484 150</t>
  </si>
  <si>
    <t xml:space="preserve"> 2 02 30024 05 5304 150</t>
  </si>
  <si>
    <t>2 02 45303 05 0000 150</t>
  </si>
  <si>
    <t xml:space="preserve">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</si>
  <si>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2 02 35469 05 0000 150</t>
  </si>
  <si>
    <t>Контрольно-счетная комиссия муниципального образования Богучанский район</t>
  </si>
  <si>
    <t xml:space="preserve">Муниципальное казенное учреждение "Муниципальная пожарная часть №1" </t>
  </si>
  <si>
    <t>Прочие безвозмездные поступления от негосударственных организаций в бюджеты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</si>
  <si>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Доходы бюджетов муниципальных районов от возврата иными организациями остатков субсидий прошлых лет (за счет средств местного бюджета)</t>
  </si>
  <si>
    <t>Доходы бюджетов муниципальных районов от возврата иными организациями остатков субсидий прошлых лет (по целевым средствам прошлых лет (ЦСР 8160000, 0497578, 0497570, 0490075700, 0460075700))</t>
  </si>
  <si>
    <t>Доходы бюджетов муниципальных районов от возврата иными организациями остатков субсидий прошлых лет (по целевым средствам прошлых лет (ЦСР 8210000, 0497577, 0490075770, 0460075770))</t>
  </si>
  <si>
    <t>Доходы бюджетов муниципальных районов от возврата бюджетными учреждениями остатков субсидий прошлых лет (за счет средств местного бюджета)</t>
  </si>
  <si>
    <t>Доходы бюджетов муниципальных районов от возврата бюджетными учреждениями остатков субсидий прошлых лет (по целевым средствам из регионального бюджета))</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</si>
  <si>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основному платежу)</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</si>
  <si>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пени)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</si>
  <si>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штрафам)</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</si>
  <si>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основному платежу)</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</si>
  <si>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пени)</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</si>
  <si>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штрафам)</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</si>
  <si>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(по основному платежу)</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</si>
  <si>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(от пени)</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</si>
  <si>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(по штрафам)</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</si>
  <si>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(от социального найма жилых помещений)</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</si>
  <si>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 (по основному платежу)</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</si>
  <si>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 (по пени)</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</si>
  <si>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 (по основному платежу)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</si>
  <si>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(по основному платежу)</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</si>
  <si>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(по основному платежу)</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</si>
  <si>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 (по основному платежу)</t>
  </si>
  <si>
    <t>Доходы бюджетов муниципальных районов от возврата иными организациями остатков субсидий прошлых лет (выплаты по программе "Жилище")</t>
  </si>
  <si>
    <t>Доходы бюджетов муниципальных районов от возврата иными организациями остатков субсидий прошлых лет (по целевым средствам прошлых лет (ЦСР 5210212, 0227564, 0220075640))</t>
  </si>
  <si>
    <t>Доходы бюджетов муниципальных районов от возврата иными организациями остатков субсидий прошлых лет (по целевым средствам прошлых лет (ЦСР4367500, 0110075880))</t>
  </si>
  <si>
    <t>Доходы бюджетов муниципальных районов от возврата иными организациями остатков субсидий прошлых лет (по целевым средствам прошлых лет (ЦСР 0220074080))</t>
  </si>
  <si>
    <t>Доходы бюджетов муниципальных районов от возврата иными организациями остатков субсидий прошлых лет (по целевым средствам прошлых лет (ЦСР 0220074090))</t>
  </si>
  <si>
    <t>Прочие субсидии бюджетам муниципальных районов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t>
  </si>
  <si>
    <t>Прочие субсидии бюджетам муниципальных районов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t>
  </si>
  <si>
    <t xml:space="preserve">Прочие субсидии бюджетам муниципальных районов (на реализацию мероприятий, направленных на повышение безопасности дорожного движения, за счет средств дорожного фонда Красноярского края) </t>
  </si>
  <si>
    <t>Прочие субсидии бюджетам муниципальных районов (на частичное финансирование (возмещение) расходов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t>
  </si>
  <si>
    <t>Прочие субсидии бюджетам муниципальных районов (на проведение мероприятий, направленных на обеспечение безопасного участия детей в дорожном движении)</t>
  </si>
  <si>
    <t>Прочие субсидии бюджетам муниципальных районов (на обеспечение первичных мер пожарной безопасности)</t>
  </si>
  <si>
    <t>Прочие субсидии бюджетам муниципальных районам (на частичное финансирование (возмещение) расходов на содержание единых дежурно-диспетчерских служб муниципальных образований Красноярского края)</t>
  </si>
  <si>
    <t>Прочие субсидии бюджетам муниципальных районов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государственной программы Красноярского края "Молодежь Красноярского края в ХХI веке")</t>
  </si>
  <si>
    <t>Прочие субсидии бюджетам муниципальных районов  (на поддержку деятельности муниципальных молодежных центров в рамках подпрограммы «Вовлечение молодежи в социальную практику» государственной программы Красноярского края «Молодежь Красноярского края в XXI веке»)</t>
  </si>
  <si>
    <t>Прочие субсидии бюджетам муниципальных районов (на софинансирование муниципальных программ формирования современной городской (сельской) среды в поселениях)</t>
  </si>
  <si>
    <t>Прочие субсидии бюджетам муниципальных районов (на организацию (строительство) мест (площадок) накопления отходов потребления и приобретение контейнерного оборудования)</t>
  </si>
  <si>
    <t>Прочие субсидии бюджетам муниципальных районов (на подготовку документов территориального планирования и градостроительного зонирования (внесение в них изменений), на разработку документации по планировке территории)</t>
  </si>
  <si>
    <t>Прочие субсидии бюджетам муниципальных районов (на создание (реконструкцию) и капитальный ремонт культурно-досуговых учреждений в сельской местности)</t>
  </si>
  <si>
    <t>Прочие субсидии бюджетам муниципальных районов  (на комплектование книжных фондов библиотек муниципальных образований Красноярского края)</t>
  </si>
  <si>
    <t>Прочие субсидии бюджетам муниципальных районов (на реализацию мероприятий, направленных на повышение безопасности дорожного движения)</t>
  </si>
  <si>
    <t>Прочие субсидии бюджетам муниципальных районов (на строительство (реконструкцию) объектов размещения отходов)</t>
  </si>
  <si>
    <t>Прочие субсидии бюджетам муниципальных районов (на содержание автомобильных дорог общего пользования местного значения за счет средств дорожного фонда Красноярского края)</t>
  </si>
  <si>
    <t>Прочие субсидии бюджетам муниципальных районов (на капитальный ремонт и ремонт автомобильных дорог общего пользования местного значения за счет средств дорожного фонда Красноярского края)</t>
  </si>
  <si>
    <t>Прочие субсидии бюджетам муниципальных районов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t>
  </si>
  <si>
    <t>Прочие субсидии бюджетам муниципальных районах  (на организацию и проведение акарицидных обработок мест массового отдыха населения)</t>
  </si>
  <si>
    <t>Прочие субсидии бюджетам муниципальных районов (на проведение работ в общеобразовательных организациях с целью приведения зданий и сооружений в соответствие требованиям надзорных органов)</t>
  </si>
  <si>
    <t>Прочие субсидии бюджетам муниципальных районов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t>
  </si>
  <si>
    <t>Прочие субсидии бюджетам муниципальных районов (расположенных в районах Крайнего Севера и приравненных к ним местностях с ограниченными сроками завоза грузов, на финансирование затрат теплоснабжающих и энергосбытовых организаций, осуществляющих производство и (или) реализацию тепловой и электрической энергии, возникших вследствие разницы между фактической стоимостью топлива и стоимостью топлива, учтенной в тарифах на тепловую и электрическую энергию на 2018 год)</t>
  </si>
  <si>
    <t>Прочие субсидии бюджетам муниципальных районов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t>
  </si>
  <si>
    <t>Прочие субсидии бюджетам муниципальных районов (на реализацию проектов по решению вопросов местного значения сельских поселений в рамках подпрограммы «Поддержка муниципальных проектов по благоустройству территорий и повышению активности населения в решении вопросов местного значения» государственной программы Красноярского края «Содействие развитию местного самоуправления»)</t>
  </si>
  <si>
    <t>Субвенции бюджетам муниципальных районов на выполнение передаваемых полномочий субъектов Российской Федерации (на организацию и осуществление деятельности по опеке и попечительству в отношении совершеннолетних граждан, а также в сфере патронажа (в соответствии с Законом края от 11 июля 2019 года № 7-2988))</t>
  </si>
  <si>
    <t>Субвенции бюджетам муниципальных районов на выполнение передаваемых полномочий субъектов Российской Федерации (на предоставление субсидий гражданам, ведущим личное подсобное хозяйство на территории края, на возмещение части затрат на уплату процентов по кредитам, полученным на срок до 5 лет)</t>
  </si>
  <si>
    <t>Субвенции бюджетам муниципальных районов на выполнение передаваемых полномочий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</si>
  <si>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</si>
  <si>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</si>
  <si>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 xml:space="preserve">Субвенции бюджетам муниципальных районов на выполнение передаваемых полномочий субъектов Российской Федерации (осуществление уведомительной регистрации коллективных договоров и территориальных соглашений и контроля за их выполнением) </t>
  </si>
  <si>
    <t>Субвенции бюджетам муниципальных районов на выполнение передаваемых полномочий субъектов Российской Федерации (на 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t>
  </si>
  <si>
    <t>Субвенции бюджетам муниципальных районов на выполнение передаваемых полномочий субъектов Российской Федерации (по организации деятельности органов управления системой социальной защиты населения в соответствии с Законом края от 20 декабря 2005 года № 17-4294)</t>
  </si>
  <si>
    <t>Субвенции бюджетам муниципальных районов на выполнение передаваемых полномочий субъектов Российской Федерации (по созданию и обеспечению деятельности административных комиссий в соответствии с Законом края от 23 апреля 2009 года № 8-3170)</t>
  </si>
  <si>
    <t xml:space="preserve">Субвенции бюджетам муниципальных районов на выполнение передаваемых полномочий субъектов Российской Федерации (решение вопросов поддержки сельскохозяйственного производства) </t>
  </si>
  <si>
    <t>Субвенции бюджетам муниципальных районов на выполнение передаваемых полномочий субъектов Российской Федерации (по организации проведения мероприятий по отлову и содержанию безнадзорных животных)</t>
  </si>
  <si>
    <t>Субвенции бюджетам муниципальных районов на выполнение передаваемых полномочий субъектов Российской Федерации (в области архивного дела, переданных органам местного самоуправления Красноярского края)</t>
  </si>
  <si>
    <t>Субвенции бюджетам муниципальных районов на выполнение передаваемых полномочий субъектов Российской Федерации (по организации и осуществлению деятельности по опеке и попечительству в отношении несовершеннолетних)</t>
  </si>
  <si>
    <t>Субвенции бюджетам муниципальных районов на выполнение передаваемых полномочий субъектов Российской Федерации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</si>
  <si>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Субвенции бюджетам муниципальных районов на выполнение передаваемых полномочий субъектов Российской Федерации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обеспечения деятельности административного и учебно-вспомогательного персонала муниципальных общеобразовательных организаций)</t>
  </si>
  <si>
    <t>Субвенции бюджетам муниципальных районов на выполнение передаваемых полномочий субъектов Российской Федерации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t>
  </si>
  <si>
    <t>Субвенции бюджетам муниципальных районов на выполнение передаваемых полномочий субъектов Российской Федерации (на реализацию отдельных мер по обеспечению ограничения платы граждан за коммунальные услуги)</t>
  </si>
  <si>
    <t>Субвенции бюджетам муниципальных районов на выполнение передаваемых полномочий субъектов Российской Федерации (на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t>
  </si>
  <si>
    <t>Субвенции бюджетам муниципальных районов на выполнение передаваемых полномочий субъектов Российской Федерации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</si>
  <si>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</si>
  <si>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выполнение передаваемых полномочий субъектов Российской Федерации (по расчету и предоставлению дотаций поселениям, входящим в состав муниципального района края)</t>
  </si>
  <si>
    <t>Субвенции бюджетам муниципальных районов на выполнение передаваемых полномочий субъектов Российской Федерации (по созданию и обеспечению деятельности комиссий по делам несовершеннолетних и защите их прав)</t>
  </si>
  <si>
    <t>Субвенции бюджетам муниципальных районов на выполнение передаваемых полномочий субъектов Российской Федерации (по обеспечению отдыха и оздоровления детей)</t>
  </si>
  <si>
    <t>Прочие межбюджетные трансферты, передаваемые бюджетам муниципальных районов (из бюджетов поселений за счет собственных средств)</t>
  </si>
  <si>
    <t>Прочие межбюджетные трансферты, передаваемые бюджетам муниципальных районов (на осуществление ликвидационных мероприятий, связанных с прекращением исполнения органами местного самоуправления отдельных муниципальных образований края государственных полномочий)</t>
  </si>
  <si>
    <t>Прочие межбюджетные трансферты, передаваемые бюджетам муниципальных районов (на государственную поддержку отрасли культуры (поддержка лучших сельских учреждений культуры))</t>
  </si>
  <si>
    <t>Прочие межбюджетные трансферты, передаваемые бюджетам муниципальных районов (за содействие развитию налогового потенциала)</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</si>
  <si>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выполнение государственных полномочий по созданию и обеспечению деятельности административных комиссий)</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</si>
  <si>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капитальный ремонт и ремонт автомобильных дорог общего пользования местного значения за счет средств дорожного фонда Красноярского края)</t>
  </si>
  <si>
    <t>2 02 29999 05 7482 150</t>
  </si>
  <si>
    <t>Прочие субсидии бюджетам муниципальных районов (для постоянно действующих коллективов самодеятельного художественного творчества Красноярского края (любительским творческим коллективам) на поддержку творческих фестивалей и конкурсов, в том числе для детей и молодежи)</t>
  </si>
  <si>
    <t>2 02 45519 05 0000 150</t>
  </si>
  <si>
    <t>Межбюджетные трансферты, передаваемые бюджетам муниципальных районов на поддержку отрасли культуры (поддержка лучших сельских учреждений культуры)</t>
  </si>
  <si>
    <t>Субвенции бюджетам муниципальных районов и городских округов на проведение Всероссийской переписи населения 2020 года</t>
  </si>
  <si>
    <t>благоустройство</t>
  </si>
  <si>
    <t>благоустр   малое</t>
  </si>
  <si>
    <t>Администрация Артюгинского сельсовета</t>
  </si>
  <si>
    <t>Администрация Таежинского сельсовета</t>
  </si>
  <si>
    <t xml:space="preserve">налог п </t>
  </si>
  <si>
    <t>иные мбт</t>
  </si>
  <si>
    <t>мол пр</t>
  </si>
  <si>
    <t>итого</t>
  </si>
  <si>
    <t>субвенции</t>
  </si>
  <si>
    <t>адм</t>
  </si>
  <si>
    <t>вус</t>
  </si>
  <si>
    <t>№ прил</t>
  </si>
  <si>
    <t>участки УДС</t>
  </si>
  <si>
    <t>2 02 29999 05 7427 150</t>
  </si>
  <si>
    <t>Прочие субсидии бюджетам муниципальных районов (на обустройство участков улично-дорожной сети вблизи образовательных организаций для обеспечения безопасности дорожного движения)</t>
  </si>
  <si>
    <t>Оплата услуг регионального оператора по обращению с ТКО (твердые коммунальные отходы),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</si>
  <si>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053004М000</t>
  </si>
  <si>
    <t>Оплата услуг регионального оператора по обращению с ТКО (твердые коммунальные отходы),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</si>
  <si>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064004М000</t>
  </si>
  <si>
    <t>Оплата услуг регионального оператора по обращению с ТКО (твердые коммунальные отходы), в рамках подпрограммы "Культурное наследие" муниципальной программы Богучанского района "Развитие культуры"</t>
  </si>
  <si>
    <t>051004М000</t>
  </si>
  <si>
    <t>Оплата услуг регионального оператора по обращению с ТКО (твердые коммунальные отходы), в рамках подпрограммы "Искусство и народное творчество"муниципальной программы Богучанского района "Развитие культуры"</t>
  </si>
  <si>
    <t>052004М000</t>
  </si>
  <si>
    <t>На создание (реконструкцию) и капитальный ремонт культурно-досуговых учреждений в сельской местности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</si>
  <si>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053A174840</t>
  </si>
  <si>
    <t>Оплата услуг регионального оператора по обращению с ТКО (твердые коммунальные отходы),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</si>
  <si>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071004М000</t>
  </si>
  <si>
    <t>011E151690</t>
  </si>
  <si>
    <t>Субсидии бюджетам поселений Богучанского района на обустройство участков улично-дорожной сети вблизи образовательных организаций для обеспечения безопасности дорожного движения,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</si>
  <si>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093R374270</t>
  </si>
  <si>
    <t>Субсидии бюджетам поселений Богучанского района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</si>
  <si>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11100S7410</t>
  </si>
  <si>
    <t>11100S7490</t>
  </si>
  <si>
    <t xml:space="preserve">  </t>
  </si>
  <si>
    <t>ОХРАНА ОКРУЖАЮЩЕЙ СРЕДЫ</t>
  </si>
  <si>
    <t>0600</t>
  </si>
  <si>
    <t>Другие вопросы в области охраны окружающей среды</t>
  </si>
  <si>
    <t>0605</t>
  </si>
  <si>
    <t>Прочие субсидии  бюджетам муниципальных районов (на реализацию муниципальных программ развития субъектов малого и среднего предпринимательства)</t>
  </si>
  <si>
    <t>25304</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</si>
  <si>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</si>
  <si>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</si>
  <si>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2 02 29999 05 7840 150</t>
  </si>
  <si>
    <t>Прочие субсидии бюджетам муниципальных районов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t>
  </si>
  <si>
    <t>2 02 49999 05 7402 150</t>
  </si>
  <si>
    <t>Прочие межбюджетные трансферты, передаваемые бюджетам муниципальных районов (на финансовое обеспечение расходных обязательств муниципальных образований Красноярского края, связанных с возмещением юридическим лицам (за исключением государственных и муниципальных учреждений) и индивидуальным предпринимателям, осуществляющим регулярные перевозки пассажиров автомобильным и городским наземным электрическим транспортом по муниципальным маршрутам, части фактически понесенных затрат на топливо и (или) электроэнергию на движение, проведение профилактических мероприятий и дезинфекции подвижного состава общественного транспорта в целях недопущения распространения новой коронавирусной инфекции, вызванной 2019 nCoV)</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</si>
  <si>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</si>
  <si>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2 02 30024 05 7446 150</t>
  </si>
  <si>
    <t>Субвенции бюджетам муниципальных районов на выполнение передаваемых полномочий субъектов Российской Федерации (для реализации отдельных государственных полномочий по осуществлению мониторинга состояния и развития лесной промышленности )</t>
  </si>
  <si>
    <t>Лесное хозяйство</t>
  </si>
  <si>
    <t>0407</t>
  </si>
  <si>
    <t>Средства для реализации отдельных государственных полномочий по осуществлению мониторинга состояния и развития лесной промышленности в рамках непрограммных расходов органов местного самоуправления</t>
  </si>
  <si>
    <t>8020074460</t>
  </si>
  <si>
    <t>01100S8400</t>
  </si>
  <si>
    <t>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</si>
  <si>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01100L3040</t>
  </si>
  <si>
    <t>Субсидии бюджетам поселений Богучанского района на частичное финансирование (возмещение) расходов на повышение с 1 октября 2020 года размеров оплаты труда отдельным категориям работников бюджетной сферы Красноярского края,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</si>
  <si>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1110010350</t>
  </si>
  <si>
    <t xml:space="preserve">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t>
  </si>
  <si>
    <t>02080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</si>
  <si>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</si>
  <si>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01050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</si>
  <si>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</si>
  <si>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01053</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</si>
  <si>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</si>
  <si>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01070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</si>
  <si>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</si>
  <si>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01073</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</si>
  <si>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</si>
  <si>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</si>
  <si>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</si>
  <si>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01143</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</si>
  <si>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</si>
  <si>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01190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</si>
  <si>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</si>
  <si>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01193</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</si>
  <si>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</si>
  <si>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01200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</si>
  <si>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</si>
  <si>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01203</t>
  </si>
  <si>
    <t>Платежи в целях возмещения причиненного ущерба (убытков)</t>
  </si>
  <si>
    <t>Платежи, уплачиваемые в целях возмещения вреда</t>
  </si>
  <si>
    <t>11000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</si>
  <si>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</si>
  <si>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11050</t>
  </si>
  <si>
    <t>Оплата стоимости проезда в отпуск в соответствии с законодательством, высшего должностного лица муниципального образования в рамках непрограммных расходов органов местного самоуправления</t>
  </si>
  <si>
    <t>8010067000</t>
  </si>
  <si>
    <t>Закупка энергетических ресурсов</t>
  </si>
  <si>
    <t>247</t>
  </si>
  <si>
    <t>043008Ф000</t>
  </si>
  <si>
    <t>Расходы на приобретение основных средств в части обеспечения деятельности (оказание услуг) единой дежурно-диспетчерской службы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</si>
  <si>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041004Ф010</t>
  </si>
  <si>
    <t>0410080000</t>
  </si>
  <si>
    <t>Защита населения и территории от чрезвычайных ситуаций природного и техногенного характера, пожарная безопасность</t>
  </si>
  <si>
    <t>Отдельные мероприятия в рамках подпрограммы "Поддержка малых форм хозяйствования" муниципальной программы "Развитие сельского хозяйства в Богучанском районе"</t>
  </si>
  <si>
    <t>1210080000</t>
  </si>
  <si>
    <t>Муниципальная программа Богучанского района "Охрана окружающей среды"</t>
  </si>
  <si>
    <t>0200000000</t>
  </si>
  <si>
    <t>0210000000</t>
  </si>
  <si>
    <t>Мероприятия по ликвидации несанкционированной свалки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</si>
  <si>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0210080020</t>
  </si>
  <si>
    <t>Охрана объектов растительного и животного мира и среды их обитания</t>
  </si>
  <si>
    <t>0603</t>
  </si>
  <si>
    <t>Подпрограмма "Обращение с животными без владельцев"</t>
  </si>
  <si>
    <t>0220000000</t>
  </si>
  <si>
    <t>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рамках подпрограмм "Обращение с животными без владельцев" муниципальной программы Богучанского района "Охрана окружающей среды"</t>
  </si>
  <si>
    <t>0220075180</t>
  </si>
  <si>
    <t>Муниципальная программа Богучанского района "Содействие развитию гражданского общества в Богучанском районе"</t>
  </si>
  <si>
    <t>1300000000</t>
  </si>
  <si>
    <t>Подпрограмма "Поддержка социально ориентированных некоммерческих организаций"</t>
  </si>
  <si>
    <t>1310000000</t>
  </si>
  <si>
    <t>Предоставление субсидии на конкурсной основе социально ориентированным некоммерческим организациям на реализацию социальных проектов в рамках подпрограммы "Поддержка социально ориентированных некоммерческих организаций" муниципальной программы "Содействие развитию гражданского общества в Богучанском районе"</t>
  </si>
  <si>
    <t>1310080010</t>
  </si>
  <si>
    <t>630</t>
  </si>
  <si>
    <t>Субсидии (гранты в форме субсидий), не подлежащие казначейскому сопровождению</t>
  </si>
  <si>
    <t>633</t>
  </si>
  <si>
    <t>Подпрограмма "Обеспечение информационными ресурсами гражданской тематики населения Богучанского района для решения социальных проблем"</t>
  </si>
  <si>
    <t>1320000000</t>
  </si>
  <si>
    <t>Мероприятия по обеспечению информированности населения в решении социально значимых проблем, в рамках подпрограммы "Обеспечение информационными ресурсами гражданской тематики населения Богучанского района для решения социальных проблем" муниципальной программы "Содействие развитию гражданского общества в Богучанском районе"</t>
  </si>
  <si>
    <t>1320080020</t>
  </si>
  <si>
    <t>0930080000</t>
  </si>
  <si>
    <t>0130080030</t>
  </si>
  <si>
    <t>013008П030</t>
  </si>
  <si>
    <t>Расходы на оплату стоимости проезда в отпуск в соответствии с законодательством, за счет средств от доходов по подвозу воды населению,предприятиям, организациям,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</si>
  <si>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0320087090</t>
  </si>
  <si>
    <t>Субсидии бюджетам поселений Богучанского района на обеспечение мероприятий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</si>
  <si>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101F367483</t>
  </si>
  <si>
    <t>Субсидии бюджетам поселений Богучанского района на обеспечение мероприятий по переселению граждан из аварийного жилищного фонда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</si>
  <si>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101F367484</t>
  </si>
  <si>
    <t>2023 год</t>
  </si>
  <si>
    <t xml:space="preserve">Перечень субсидий бюджетам поселений Богучанского района, предоставляемых из районного бюджета в целях софинансирования расходных обязательств, возникающих при выполнении полномочий органов местного самоуправления по решению вопросов местного значения, на 2021 год и плановый период 2022 - 2023 годов </t>
  </si>
  <si>
    <t xml:space="preserve">          2021 год</t>
  </si>
  <si>
    <t xml:space="preserve">     2022 год</t>
  </si>
  <si>
    <t xml:space="preserve">         2023 год</t>
  </si>
  <si>
    <t xml:space="preserve">Субсидии бюджетам поселений Богучанского района на обустройство участков улично-дорожной сети вблизи образовательных организаций для обеспечения безопасности дорожного движения,  на 2021 год </t>
  </si>
  <si>
    <t>БДД</t>
  </si>
  <si>
    <t>Оплата жилищно-коммунальных услуг за исключением электроэнергии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</si>
  <si>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Условно-утвержденные расходы</t>
  </si>
  <si>
    <t>Субсидии бюджетам поселений Богучанского района  на  реализацию мероприятий направленных на повышение  безопасности дорожного движения, за счет  средств дорожного фонда Красноярского края  на 2021 год  и плановый период 2022-2023 годов</t>
  </si>
  <si>
    <t>Муниципальная программа Богучанского района "Защита населения и территории Богучанского района от чрезвычайных ситуаций природного и техногенного характера"</t>
  </si>
  <si>
    <t>Подпрограмма "Профилактика терроризма, а так же минимизации и ликвидации последствий его проявлений"</t>
  </si>
  <si>
    <t>Расходы на приобретение основных средств в рамках подпрограммы "Профилактика терроризма, а так же минимизации и ликвидации последствий его проявлений" муниципальной программы "Защита населения и территории Богучанского района от чрезвычайных ситуаций природного и техногенного характера"</t>
  </si>
  <si>
    <t>2 18 60010 05 7745 150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</si>
  <si>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(за содействие развитию налогового потенциала)</t>
  </si>
  <si>
    <t>2 02 25243 05 0000 150</t>
  </si>
  <si>
    <t xml:space="preserve">Субсидии бюджетам муниципальных районов на строительство и реконструкцию (модернизацию) объектов питьевого водоснабжения </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</si>
  <si>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</si>
  <si>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муниципальных районов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</si>
  <si>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02231</t>
  </si>
  <si>
    <t>02241</t>
  </si>
  <si>
    <t>02251</t>
  </si>
  <si>
    <t>02261</t>
  </si>
  <si>
    <t>2 02 19999 05 2724 150</t>
  </si>
  <si>
    <t>Прочие субсидии бюджетам муниципальных районов (для поощрения муниципальных образований - победителей конкурса лучших проектов создания комфортной городской среды)</t>
  </si>
  <si>
    <t>2 02 29999 05 7451 150</t>
  </si>
  <si>
    <t>2 02 35082 05 0000 150</t>
  </si>
  <si>
    <t>Прочие дотации бюджетам муниципальных районов (на частичную компенсацию расходов на повышение оплаты труда отдельным категориям работников бюджетной сферы Красноярского края)</t>
  </si>
  <si>
    <t>Средства на приобретение основных средств по отдельным мероприятиям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</si>
  <si>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035F552430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</si>
  <si>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</si>
  <si>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Субсидии бюджетам поселений Богучанского района для поощрения поселений - победителей конкурса лучших проектов создания комфортной городской среды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</si>
  <si>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111F274510</t>
  </si>
  <si>
    <t>Прочие доходы от компенсации затрат бюджетов муниципальных районов (возмещение судебных расходов)</t>
  </si>
  <si>
    <t>1 13 02995 05 9910 130</t>
  </si>
  <si>
    <t xml:space="preserve">за счет  средств субвенции на реализацию государственных  полномочий по расчету и предоставлению дотаций на выравнивание  бюджетной  обеспеченности поселениям, входящим в состав  муниципального района края </t>
  </si>
  <si>
    <t>Расходы на приобретение основных средств в подведомственных учреждениях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</si>
  <si>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053004Ф000</t>
  </si>
  <si>
    <t>Предоставление субсидий бюджетным учреждениям на приобретение основных средств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</si>
  <si>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07100Ф0000</t>
  </si>
  <si>
    <t>Оплата услуг регионального оператора по обращению с ТКО (твердые коммунальные отходы),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</si>
  <si>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011004М010</t>
  </si>
  <si>
    <t>Расходы, направленные на развитие и повышение качества работы муниципальных учреждений, предоставление новых муниципальных услуг, повышение их качества,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</si>
  <si>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услуг регионального оператора по обращению с ТКО (твердые коммунальные отходы),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</si>
  <si>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011004М020</t>
  </si>
  <si>
    <t>Обеспечение деятельности (оказание услуг) учреждений дополнительного образования (оплата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</si>
  <si>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0110040031</t>
  </si>
  <si>
    <t>Обеспечение функционирования модели персонифицированного финансирования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</si>
  <si>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0110042030</t>
  </si>
  <si>
    <t>Гранты в форме субсидии бюджетным учреждениям</t>
  </si>
  <si>
    <t>613</t>
  </si>
  <si>
    <t>2 02 29999 05 2650 150</t>
  </si>
  <si>
    <t xml:space="preserve">Прочие субсидии бюджетам муниципальных районов (на выполнение требований федеральных стандартов спортивной подготовки) </t>
  </si>
  <si>
    <t xml:space="preserve">
Субсидии бюджетам поселений Богучанского района  на финансирование расходов  формирования современной городской (сельской) среды в поселениях на 2021 год </t>
  </si>
  <si>
    <t>Возврат остатков субсидий на оснащение объектов спортивной инфраструктуры спортивно-технологическим оборудованием из бюджетов муниципальных районов</t>
  </si>
  <si>
    <t>2 18 05030 05 5228 150</t>
  </si>
  <si>
    <t>Доходы бюджетов муниципальных районов от возврата иными организациями остатков субсидий прошлых лет (по оснащению объектов спортивной инфраструктуры спортивно-технологическим оборудованием)</t>
  </si>
  <si>
    <t>1 13 02995 05 5228 130</t>
  </si>
  <si>
    <t>Прочие доходы от компенсации затрат бюджетов муниципальных районов (по оснащению объектов спортивной инфраструктуры спортивно-технологическим оборудованием)</t>
  </si>
  <si>
    <t>Прочие субсидии бюджетам муниципальных районов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за счет средств краевого бюджета)</t>
  </si>
  <si>
    <t xml:space="preserve">Субсидии бюджетам поселений Богучанского района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   на 2021 год </t>
  </si>
  <si>
    <t>Администрация Такучетского сельсовета</t>
  </si>
  <si>
    <t xml:space="preserve">Субсидии бюджетам поселений Богучанского района для реализации проектов по решению вопросов местного значения, осуществляемых непосредственно населением на территории населенного пункта,  на 2021 год </t>
  </si>
  <si>
    <t>02100S4630</t>
  </si>
  <si>
    <t>На обустройство мест (площадок) накопления отходов потребления и (или) приобретение контейнерного оборудования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</si>
  <si>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093R373980</t>
  </si>
  <si>
    <t>Финансирование на проведение мероприятий, направленных на обеспечение безопасного участия детей в дорожном движении,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</si>
  <si>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Средства для постоянно действующих коллективов самодеятельного художественного творчества Красноярского края (любительским творческим коллективам) на поддержку творческих фестивалей и конкурсов, в том числе для детей и молодежи, в рамках подпрограммы "Искусство и народное творчество" муниципальной программы Богучанского района "Развитие культуры"</t>
  </si>
  <si>
    <t>Отдельные мероприятия в рамках подпрограммы "Профилактика терроризма, а так же минимизации и ликвидации последствий его проявлений" муниципальной программы "Защита населения и территории Богучанского района от чрезвычайных ситуаций природного и техногенного характера"</t>
  </si>
  <si>
    <t>0430080000</t>
  </si>
  <si>
    <t>Стипендии</t>
  </si>
  <si>
    <t>340</t>
  </si>
  <si>
    <t>На приведение зданий и сооружений общеобразовательных организаций в соответствие требованиям законодательства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</si>
  <si>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Субсидии бюджетам поселений Богучанского района на реализацию проектов по решению вопросов местного значения, осуществляемых непосредственно населением на территории населенного пункта,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</si>
  <si>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переселение граждан</t>
  </si>
  <si>
    <t>Субсидии бюджетам поселений Богучанского района на обеспечение мероприятий по переселению граждан из аварийного жилищного фонда на  2021 год и плановый период 2022-2023 годов</t>
  </si>
  <si>
    <t>2 02 29999 05 7395 150</t>
  </si>
  <si>
    <t>Прочие субсидии бюджетам муниципальных районов (на осуществление дорожной деятельности в целях решения задач социально-экономического развития территорий за счет средств дорожного фонда Красноярского края)</t>
  </si>
  <si>
    <t>2 02 49999 05 1011 150</t>
  </si>
  <si>
    <t>Прочие межбюджетные трансферты, передаваемые бюджетам муниципальных районов (Резервный фонд Правительства Красноярского края в рамках непрограммных расходов отдельных органов исполнительной власти)</t>
  </si>
  <si>
    <t>2 19 25228 05 0000 150</t>
  </si>
  <si>
    <t>Субсидии бюджетам поселений Богучанского района для поощрения поселений - победителей конкурса лучших проектов создания комфортной городской среды  на 2021 год</t>
  </si>
  <si>
    <t>гор среда 10</t>
  </si>
  <si>
    <t xml:space="preserve">гор среда </t>
  </si>
  <si>
    <t>дороги</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</si>
  <si>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</si>
  <si>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0510045000</t>
  </si>
  <si>
    <t>Оплата услуг регионального оператора по обращению с ТКО (твердые коммунальные отходы),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</si>
  <si>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042004М010</t>
  </si>
  <si>
    <t>Расходы на приобретение основных средств в подведомственных учреждениях,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</si>
  <si>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042004Ф010</t>
  </si>
  <si>
    <t>1 13 01995 05 9995 130</t>
  </si>
  <si>
    <t>Прочие доходы от оказания платных услуг получателями средств бюджетов муниципальных районов (на предоставление информационных услуг в системе ГИС ОГД)</t>
  </si>
  <si>
    <t>Прочие доходы от компенсации затрат бюджетов муниципальных районов (возврат дебиторской задолженнсти в бюджет муниципального района)</t>
  </si>
  <si>
    <t>2023-2024</t>
  </si>
  <si>
    <t xml:space="preserve"> 2023 год</t>
  </si>
  <si>
    <t>2024 год</t>
  </si>
  <si>
    <t>Осуществление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 (в соответствии с Законом края от 8 июля 2021 года № 11-5284) в рамках непрограммных расходов органов местного самоуправления</t>
  </si>
  <si>
    <t>8020078460</t>
  </si>
  <si>
    <t>Другие вопросы в области национальной безопасности и правоохранительной деятельности</t>
  </si>
  <si>
    <t>0314</t>
  </si>
  <si>
    <t>Отдельные мероприятия в области водного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</si>
  <si>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09200В0000</t>
  </si>
  <si>
    <t>Расходы на капитальный ремонт и ремонт автомобильных дорог общего пользования местного значения в рамках подпрограммы "Дороги Богучанского района" муниципальной программы "Развитие транспортной системы Богучанского района"</t>
  </si>
  <si>
    <t>Мероприятия по сбору отработанных ртутьсодержащих ламп, их транспортирование и обезвреживание, утилизация продуктов обезвреживания, а так же прием у населения образующихся в быту опасных отходов,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</si>
  <si>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0210080040</t>
  </si>
  <si>
    <t>Оплата услуг регионального оператора по обращению с ТКО (твердые коммунальные отходы),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</si>
  <si>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011004М030</t>
  </si>
  <si>
    <t>Оплата услуг регионального оператора по обращению с ТКО (твердые коммунальные отходы),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</si>
  <si>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011004М040</t>
  </si>
  <si>
    <t>Оплата услуг регионального оператора по обращению с ТКО (твердые коммунальные отходы),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</si>
  <si>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013004М000</t>
  </si>
  <si>
    <t>Оплата за электроэнергию руководства и управления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</si>
  <si>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013006Э000</t>
  </si>
  <si>
    <t>Оплата услуг регионального оператора по обращению с ТКО (твердые коммунальные отходы), в рамках подпрограммы "Обеспечение реализации муниципальной программы" муниципальной программы "Управление муниципальными финансами"</t>
  </si>
  <si>
    <t>112006М000</t>
  </si>
  <si>
    <t>09100Ч0030</t>
  </si>
  <si>
    <t>Налог на доходы физических лиц в отношении доходов физических лиц, превышающих 5,0 млн рублей, в части, установленной для уплаты в федеральный бюджет</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</si>
  <si>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</si>
  <si>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</si>
  <si>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за размещение твердых коммунальных отходов</t>
  </si>
  <si>
    <t>Прочие доходы от оказания платных услуг получателями средств бюджетов муниципальных районов и компенсации затрат бюджетов муниципальных районов</t>
  </si>
  <si>
    <t xml:space="preserve">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</si>
  <si>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</si>
  <si>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</si>
  <si>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</si>
  <si>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</si>
  <si>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Дотации бюджетам субъектов Российской Федерации и муниципальных образований</t>
  </si>
  <si>
    <t>Прочие субсидии бюджетам муниципальных районов (на реализацию муниципальных программ развития субъектов малого и среднего предпринимательства)</t>
  </si>
  <si>
    <t>Субвенции бюджетам муниципальных районов на выполнение передаваемых полномочий субъектов Российской Федерации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</si>
  <si>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</si>
  <si>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01021</t>
  </si>
  <si>
    <t>09080</t>
  </si>
  <si>
    <t>01042</t>
  </si>
  <si>
    <t>01150</t>
  </si>
  <si>
    <t>01153</t>
  </si>
  <si>
    <t>01170</t>
  </si>
  <si>
    <t>01173</t>
  </si>
  <si>
    <t>10030</t>
  </si>
  <si>
    <t>10032</t>
  </si>
  <si>
    <t>01083</t>
  </si>
  <si>
    <t>дотации</t>
  </si>
  <si>
    <t>сбалансир</t>
  </si>
  <si>
    <t>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плановый период 2023-2024 годов</t>
  </si>
  <si>
    <t xml:space="preserve"> </t>
  </si>
  <si>
    <t>02230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</si>
  <si>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</si>
  <si>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02240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</si>
  <si>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</si>
  <si>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</si>
  <si>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02250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</si>
  <si>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</si>
  <si>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</si>
  <si>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02260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</si>
  <si>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</si>
  <si>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</si>
  <si>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05070</t>
  </si>
  <si>
    <t>Доходы от сдачи в аренду имущества, составляющего казну муниципальных районов (за исключением земельных участков)</t>
  </si>
  <si>
    <t>05075</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</si>
  <si>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</si>
  <si>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муниципальных районов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</si>
  <si>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1598</t>
  </si>
  <si>
    <t>7397</t>
  </si>
  <si>
    <t>7456</t>
  </si>
  <si>
    <t>7488</t>
  </si>
  <si>
    <t>7563</t>
  </si>
  <si>
    <t>7607</t>
  </si>
  <si>
    <t>30000</t>
  </si>
  <si>
    <t>30024</t>
  </si>
  <si>
    <t>0289</t>
  </si>
  <si>
    <t>7408</t>
  </si>
  <si>
    <t>7409</t>
  </si>
  <si>
    <t>7429</t>
  </si>
  <si>
    <t>7446</t>
  </si>
  <si>
    <t>7467</t>
  </si>
  <si>
    <t>7514</t>
  </si>
  <si>
    <t>7517</t>
  </si>
  <si>
    <t>7518</t>
  </si>
  <si>
    <t>7519</t>
  </si>
  <si>
    <t>7552</t>
  </si>
  <si>
    <t>7554</t>
  </si>
  <si>
    <t>7564</t>
  </si>
  <si>
    <t>7566</t>
  </si>
  <si>
    <t>7570</t>
  </si>
  <si>
    <t>7577</t>
  </si>
  <si>
    <t>7587</t>
  </si>
  <si>
    <t>7588</t>
  </si>
  <si>
    <t>7601</t>
  </si>
  <si>
    <t>7604</t>
  </si>
  <si>
    <t>7649</t>
  </si>
  <si>
    <t>7846</t>
  </si>
  <si>
    <t>30029</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</si>
  <si>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</si>
  <si>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35118</t>
  </si>
  <si>
    <t>Субвенции бюджетам муниципальных районов на осуществление первичного воинского учета органами местного самоуправления поселений, муниципальных и городских округов</t>
  </si>
  <si>
    <t>35120</t>
  </si>
  <si>
    <t>40000</t>
  </si>
  <si>
    <t>40014</t>
  </si>
  <si>
    <t>05099</t>
  </si>
  <si>
    <t>9904</t>
  </si>
  <si>
    <t>50</t>
  </si>
  <si>
    <t>Иные выплаты государственных (муниципальных) органов привлекаемым лицам</t>
  </si>
  <si>
    <t>Расходы на приобретение основных средств для создания запасов материальных ресурсов для ликвидации последствий чрезвычайных ситуаций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</si>
  <si>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041008Ф090</t>
  </si>
  <si>
    <t>Расходы на приобретение основных средств в части обеспечения первичных мер пожарной безопасности населенных пунктов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</si>
  <si>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042008Ф030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</si>
  <si>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</si>
  <si>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Подпрограмма ""Чистая вода" на территории муниципального образования Богучанский район"</t>
  </si>
  <si>
    <t>0370000000</t>
  </si>
  <si>
    <t>Бюджетные инвестиции в объекты капитального строительства государственной (муниципальной) собственности</t>
  </si>
  <si>
    <t>414</t>
  </si>
  <si>
    <t>Субсидии бюджетным учреждениям на проведение молодежного образовательного форума в рамках подпрограммы "Вовлечение молодежи Богучанского района в социальную практику" муниципальной программы "Молодежь Приангарья"</t>
  </si>
  <si>
    <t>0610080010</t>
  </si>
  <si>
    <t>0620000000</t>
  </si>
  <si>
    <t>Подпрограмма "Профилактика правонарушений среди молодежи в Богучанском районе"</t>
  </si>
  <si>
    <t>0650000000</t>
  </si>
  <si>
    <t>Обеспечение проведения комплекса мероприятий, направленных на привлечение молодежи на поддержание и защиту безопасного уровня жизни, в рамках подпрограммы "Профилактика правонарушений среди молодежи в Богучанском районе" муниципальной программы "Молодежь Приангарья"</t>
  </si>
  <si>
    <t>0650080010</t>
  </si>
  <si>
    <t>Организация и проведение мероприятий, направленных на предотвращение повторных правонарушений, в рамках подпрограммы "Профилактика правонарушений среди молодежи в Богучанском районе" муниципальной программы "Молодежь Приангарья"</t>
  </si>
  <si>
    <t>0650080020</t>
  </si>
  <si>
    <t>Приобретение основных средств для материального обеспечения деятельности муниципального ресурсного центра поддержки общественных инициатив в рамках подпрограммы "Обеспечение информационными ресурсами гражданской тематики населения Богучанского района для решения социальных проблем" муниципальной программы "Содействие развитию гражданского общества в Богучанском районе"</t>
  </si>
  <si>
    <t>132008Ф010</t>
  </si>
  <si>
    <t>Иные выплаты учреждений привлекаемым лицам</t>
  </si>
  <si>
    <t>Субвенции на осуществление первичного воинского учета органами местного самоуправления поселений Богучанского района,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</si>
  <si>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ОБСЛУЖИВАНИЕ ГОСУДАРСТВЕННОГО И МУНИЦИПАЛЬНОГО ДОЛГА</t>
  </si>
  <si>
    <t>1300</t>
  </si>
  <si>
    <t>Обслуживание государственного внутреннего и муниципального долга</t>
  </si>
  <si>
    <t>1301</t>
  </si>
  <si>
    <t>Обслуживание государственного (муниципального) долга</t>
  </si>
  <si>
    <t>700</t>
  </si>
  <si>
    <t>Обслуживание муниципального долга</t>
  </si>
  <si>
    <t>730</t>
  </si>
  <si>
    <t>Прочие межбюджетные трансферты, передаваемые бюджетам</t>
  </si>
  <si>
    <t>49999</t>
  </si>
  <si>
    <t>Прочие межбюджетные трансферты, передаваемые бюджетам муниципальных районов</t>
  </si>
  <si>
    <t xml:space="preserve">Прочие межбюджетные трансферты, передаваемые бюджетам муниципальных районов (на обеспечение первичных мер пожарной безопасности)  </t>
  </si>
  <si>
    <t>7412</t>
  </si>
  <si>
    <t>Прочие дотации</t>
  </si>
  <si>
    <t>19999</t>
  </si>
  <si>
    <t>Прочие дотации бюджетам муниципальных районов (на частичную компенсацию расходов на повышение оплаты труда отдельным категориям работников бюджетной сферы)</t>
  </si>
  <si>
    <t>2724</t>
  </si>
  <si>
    <t>Субсидия бюджетам на развитие отрасли культуры</t>
  </si>
  <si>
    <t>25519</t>
  </si>
  <si>
    <t>Субсидии бюджетам муниципальных районов на поддержку отрасли культуры</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</si>
  <si>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</si>
  <si>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45303</t>
  </si>
  <si>
    <t>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</si>
  <si>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На устройство плоскостных спортивных сооружений в сельской местности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</si>
  <si>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07100S8450</t>
  </si>
  <si>
    <t>зп с 01.01.22+ рег</t>
  </si>
  <si>
    <t>иные</t>
  </si>
  <si>
    <t>зп+рег</t>
  </si>
  <si>
    <t>Ведомственная 22 год</t>
  </si>
  <si>
    <t>Ведомственная 23-24 год</t>
  </si>
  <si>
    <t>Функц разрез 22 год</t>
  </si>
  <si>
    <t>Функц разрез 23-24 год</t>
  </si>
  <si>
    <t>ЦСР 22 год</t>
  </si>
  <si>
    <t>ЦСР 23-24 год</t>
  </si>
  <si>
    <t>Прочие межбюджетные трансферты, передаваемые бюджетам муниципальных районов (на поддержку физкультурно-спортивных клубов по месту жительства)</t>
  </si>
  <si>
    <t>7418</t>
  </si>
  <si>
    <t>Субсидии бюджетам на реализацию мероприятий по обеспечению жильем молодых семей</t>
  </si>
  <si>
    <t>25497</t>
  </si>
  <si>
    <t>Прочие межбюджетные трансферты, передаваемые бюджетам муниципальных районов (на устройство плоскостных спортивных сооружений в сельской местности)</t>
  </si>
  <si>
    <t>7845</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</si>
  <si>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</si>
  <si>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25467</t>
  </si>
  <si>
    <t>45519</t>
  </si>
  <si>
    <t>Межбюджетные трансферты, передаваемые бюджетам на поддержку отрасли культуры</t>
  </si>
  <si>
    <t>Доходы бюджетов бюджетной системы Российской Федерации от возврата организациями остатков субсидий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</si>
  <si>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</si>
  <si>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</si>
  <si>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9009</t>
  </si>
  <si>
    <t>Доходы бюджетов муниципальных районов от возврата иными организациями остатков субсидий прошлых лет</t>
  </si>
  <si>
    <t>9964</t>
  </si>
  <si>
    <t>9972</t>
  </si>
  <si>
    <t>Доходы бюджетов муниципальных районов от возврата иными организациями остатков субсидий прошлых лет (по целевым средствам прошлых лет на реализацию отдельных мер по обеспечению ограничения платы граждан за коммунальные услуги)</t>
  </si>
  <si>
    <t>Доходы бюджетов муниципальных районов от возврата иными организациями остатков субсидий прошлых лет (по целевым средствам прошлых лет на компенсацию выпадающих доходов энергоснабжающих организаций)</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</si>
  <si>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</si>
  <si>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18</t>
  </si>
  <si>
    <t>7459</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</si>
  <si>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софинансирование муниципальных программ формирования современной городской (сельской) среды в поселениях)</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</si>
  <si>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</si>
  <si>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</si>
  <si>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19</t>
  </si>
  <si>
    <t>60010</t>
  </si>
  <si>
    <t>Возврат остатков субсидий на строительство и реконструкцию (модернизацию) объектов питьевого водоснабжения из бюджетов муниципальных районов</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</si>
  <si>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районов</t>
  </si>
  <si>
    <t>25243</t>
  </si>
  <si>
    <t>7484</t>
  </si>
  <si>
    <t xml:space="preserve">Прочие межбюджетные трансферты, передаваемые бюджетам муниципальных районов  (на создание (реконструкцию) и капитальный ремонт культурно-досуговых учреждений в сельской местности) </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</si>
  <si>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непрограммных расходов органов местного самоуправления</t>
  </si>
  <si>
    <t>8020027241</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</si>
  <si>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непрограммных расходов органов местного самоуправления</t>
  </si>
  <si>
    <t>8020027242</t>
  </si>
  <si>
    <t>Расходы на приобретение основных средств в рамках непрограммных расходов органов местного самоуправления</t>
  </si>
  <si>
    <t>802006Ф000</t>
  </si>
  <si>
    <t>Исполнение судебных решений в рамках непрограммных расходов органов местного самоуправления</t>
  </si>
  <si>
    <t>9090080010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</si>
  <si>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расходов администрации Богучанского района</t>
  </si>
  <si>
    <t>Ежегодная единовременная выплата (премия) лицам, удостоенным звания "Почетный гражданин Богучанского района" в рамках непрограммных расходов администрации Богучанского района</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</si>
  <si>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</si>
  <si>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0410027242</t>
  </si>
  <si>
    <t>Средства на создание запасов материальных ресурсов для ликвидации последствий чрезвычайных ситуаций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</si>
  <si>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0410080090</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</si>
  <si>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непрограммных расходов</t>
  </si>
  <si>
    <t>9070027242</t>
  </si>
  <si>
    <t>1030000000</t>
  </si>
  <si>
    <t>На частичную компенсацию расходов на повышение ( на увеличение (индексацию)) оплаты труда отдельным категориям работников муниципального казенного учреждения "Муниципальная служба Заказчика" в рамках непрограммных расходов</t>
  </si>
  <si>
    <t>9050027242</t>
  </si>
  <si>
    <t>Финансирование расходов направленных на сохранение и развитие материально-технической базы муниципальных загородных оздоровительных лагерей,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</si>
  <si>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01100S5530</t>
  </si>
  <si>
    <t>На частичную компенсацию расходов на повышение оплаты труда отдельным категориям работников бюджетной сферы Красноярского края,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</si>
  <si>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0530027240</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</si>
  <si>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</si>
  <si>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0530027241</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</si>
  <si>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</si>
  <si>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0530027242</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</si>
  <si>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 муниципальной программы "Молодежь Приангарья"</t>
  </si>
  <si>
    <t>0640027241</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</si>
  <si>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"Обеспечение реализации муниципальной программы и прочие мероприятия" муниципальной программы "Молодежь Приангарья"</t>
  </si>
  <si>
    <t>0640027242</t>
  </si>
  <si>
    <t>На частичную компенсацию расходов на повышение оплаты труда отдельным категориям работников бюджетной сферы Красноярского края, в рамках подпрограммы "Культурное наследие" муниципальной программы Богучанского района "Развитие культуры"</t>
  </si>
  <si>
    <t>0510027240</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</si>
  <si>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"Культурное наследие" муниципальной программы Богучанского района "Развитие культуры"</t>
  </si>
  <si>
    <t>0510027242</t>
  </si>
  <si>
    <t>Финансирование расходов на поддержку отрасли культуры (комплектование книжных фондов муниципальных общедоступных библиотек) в рамках подпрограммы "Культурное наследие" муниципальной программы Богучанского района "Развитие культуры"</t>
  </si>
  <si>
    <t>05100L5191</t>
  </si>
  <si>
    <t>На частичную компенсацию расходов на повышение оплаты труда отдельным категориям работников бюджетной сферы Красноярского края, в рамках подпрограммы "Искусство и народное творчество"муниципальной программы Богучанского района "Развитие культуры"</t>
  </si>
  <si>
    <t>0520027240</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</si>
  <si>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"Искусство и народное творчество"муниципальной программы Богучанского района "Развитие культуры"</t>
  </si>
  <si>
    <t>0520027242</t>
  </si>
  <si>
    <t>0530080000</t>
  </si>
  <si>
    <t>Обеспечение развития и укрепления материально-технической базы домов культуры в населенных пунктах с числом жителей до 50 тысяч человек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</si>
  <si>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Государственная поддержка отрасли культуры (поддержка лучших работников сельских учреждений культуры)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</si>
  <si>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053A255195</t>
  </si>
  <si>
    <t>Государственная поддержка отрасли культуры (поддержка лучших сельских учреждений культуры)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</si>
  <si>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053A255196</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</si>
  <si>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</si>
  <si>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0710027241</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</si>
  <si>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</si>
  <si>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0710027242</t>
  </si>
  <si>
    <t>0630000000</t>
  </si>
  <si>
    <t>Субсидии гражданам на приобретение жилья</t>
  </si>
  <si>
    <t>Обеспечение деятельности (оказание услуг) учреждений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за счет спонсорских средств, средств добровольных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</si>
  <si>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0110043010</t>
  </si>
  <si>
    <t>Расходы на приобретение основных средств в подведомственных учреждениях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</si>
  <si>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011004Ф000</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</si>
  <si>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</si>
  <si>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0110027241</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</si>
  <si>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</si>
  <si>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0110027242</t>
  </si>
  <si>
    <t>Уплата прочих налогов, сборов</t>
  </si>
  <si>
    <t>852</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</si>
  <si>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</si>
  <si>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0110053030</t>
  </si>
  <si>
    <t>Расходы на приобретение основных средств для развитие системы образования Богучанского района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</si>
  <si>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011008Ф020</t>
  </si>
  <si>
    <t>На частичную компенсацию расходов на повышение оплаты труда отдельным категориям работников бюджетной сферы Красноярского края,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</si>
  <si>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0110027240</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</si>
  <si>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</si>
  <si>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0130027242</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</si>
  <si>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</si>
  <si>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0420027241</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</si>
  <si>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</si>
  <si>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0420027242</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</si>
  <si>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</si>
  <si>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0320027241</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</si>
  <si>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муниципальной программы "Управление муниципальными финансами"</t>
  </si>
  <si>
    <t>1120027241</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</si>
  <si>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"Обеспечение реализации муниципальной программы" муниципальной программы "Управление муниципальными финансами"</t>
  </si>
  <si>
    <t>1120027242</t>
  </si>
  <si>
    <t>Иные межбюджетные трансферты бюджетам поселений Богучанского района из районного бюджета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</si>
  <si>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Иные межбюджетные трансферты бюджетам поселений Богучанского района из районного бюджета на содержание автомобильных дорог общего пользования местного значения за счет средств дорожного фонда Богучанского района в рамках подпрограммы "Дороги Богучанского района" муниципальной программы "Развитие транспортной системы Богучанского района"</t>
  </si>
  <si>
    <t>0710074180</t>
  </si>
  <si>
    <t>Иные межбюджетные трансферты бюджетам поселений Богучанского района на частичную компенсацию расходов на повышение оплаты труда отдельным категориям работников бюджетной сферы Богучанского района,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</si>
  <si>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1110027240</t>
  </si>
  <si>
    <t>невонке спорт</t>
  </si>
  <si>
    <t>7555</t>
  </si>
  <si>
    <t xml:space="preserve">Прочие межбюджетные трансферты, передаваемые бюджетам муниципальных районов (на организацию и проведение акарицидных обработок мест массового отдыха населения)  </t>
  </si>
  <si>
    <t>7553</t>
  </si>
  <si>
    <t>7508</t>
  </si>
  <si>
    <t>Прочие межбюджетные трансферты, передаваемые бюджетам муниципальных районов (на содержание автомобильных дорог общего пользования местного значения)</t>
  </si>
  <si>
    <t>7641</t>
  </si>
  <si>
    <t>Прочие межбюджетные трансферты, передаваемые бюджетам муниципальных районов (на осуществление расходов, направленных на реализацию мероприятий по поддержке местных инициатив)</t>
  </si>
  <si>
    <t>2650</t>
  </si>
  <si>
    <t>Прочие субсидии бюджетам муниципальных районов (на выполнение требований федеральных стандартов спортивной подготовки)</t>
  </si>
  <si>
    <t>Администрация Богучанского сельского совета</t>
  </si>
  <si>
    <t>Администрация поселка Октябрьский</t>
  </si>
  <si>
    <t>ППМИ</t>
  </si>
  <si>
    <t>7745</t>
  </si>
  <si>
    <t xml:space="preserve">Иные межбюджетные трансферты бюджетам поселений Богучанского района из районного бюджета на содержание автомобильных дорог общего пользования местного значения за счет средств дорожного фонда Богучанского района  на 2022 год </t>
  </si>
  <si>
    <t>за счет средств краевого бюджета</t>
  </si>
  <si>
    <t xml:space="preserve">дороги  </t>
  </si>
  <si>
    <t>акарицид</t>
  </si>
  <si>
    <t>налогов пот</t>
  </si>
  <si>
    <t>ппми</t>
  </si>
  <si>
    <t>Средства на реализацию инвестиционных проектов субъектами малого и среднего предпринимательства в приоритетных отраслях,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</si>
  <si>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08100S6610</t>
  </si>
  <si>
    <t>Мероприятия по содержанию и транспортировке контейнерного оборудования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</si>
  <si>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0210080050</t>
  </si>
  <si>
    <t>Средства на проведение проверки достоверности определения сметной стоимости объекта капитального ремонта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</si>
  <si>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0350080010</t>
  </si>
  <si>
    <t>Расходы на поддержку деятельности муниципальных молодежных центров в рамках подпрограммы "Патриотическое воспитание молодежи Богучанского района" муниципальной программы "Молодежь Приангарья"</t>
  </si>
  <si>
    <t>06200S4560</t>
  </si>
  <si>
    <t>Предоставление субсидий бюджетным учреждениям на оплату расходов по капитальному ремонту (включая расходы на проведение капитального ремонта хозяйственным способом) в рамках подпрограммы "Обеспечение реализации муниципальной программы и прочие мероприятия" муниципальной программы "Молодежь Приангарья"</t>
  </si>
  <si>
    <t>06400Ц0000</t>
  </si>
  <si>
    <t>Расходы на поддержку деятельности муниципальных молодежных центров в рамках подпрограммы "Профилактика правонарушений среди молодежи в Богучанском районе" муниципальной программы "Молодежь Приангарья"</t>
  </si>
  <si>
    <t>06500S4560</t>
  </si>
  <si>
    <t>За содействие развитию налогового потенциала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</si>
  <si>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0110077450</t>
  </si>
  <si>
    <t>Субсидии автономным учреждениям</t>
  </si>
  <si>
    <t>620</t>
  </si>
  <si>
    <t>Гранты в форме субсидии автономным учреждениям</t>
  </si>
  <si>
    <t>623</t>
  </si>
  <si>
    <t>Расходы на приобретение основных средств в подведомственных учреждениях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</si>
  <si>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013004Ф000</t>
  </si>
  <si>
    <t>Выполнение требований федеральных стандартов спортивной подготовки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</si>
  <si>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07100S6500</t>
  </si>
  <si>
    <t>ЗДРАВООХРАНЕНИЕ</t>
  </si>
  <si>
    <t>0900</t>
  </si>
  <si>
    <t>Другие вопросы в области здравоохранения</t>
  </si>
  <si>
    <t>Иные межбюджетные трансферты бюджетам поселений Богучанского района из районного бюджета на реализацию мероприятий по неспецифической профилактике инфекций, передающихся иксодовыми клещами, путем организации и проведения акарицидных обработок наиболее посещаемых населением участков территорий природных очаговых клещевых инфекций,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</si>
  <si>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1110075550</t>
  </si>
  <si>
    <t>Иные межбюджетные трансферты бюджетам поселений Богучанского района из районного бюджета на поддержку физкультурно-спортивных клубов по месту жительства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</si>
  <si>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Предоставление иных межбюджетных трансфертов бюджетам поселений Богучанского района за содействие развитию налогового потенциала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</si>
  <si>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1110077450</t>
  </si>
  <si>
    <t>Иные межбюджетные трансферты бюджетам поселений Богучанского района из районного бюджета на осуществление расходов, направленных на реализацию мероприятий по поддержке местных инициатив,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</si>
  <si>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11100S6410</t>
  </si>
  <si>
    <t>Мероприятия по обеспечению жизнедеятельности образовательных учреждений за счет спонсорских средств, средств благотворительных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</si>
  <si>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7482</t>
  </si>
  <si>
    <t>7661</t>
  </si>
  <si>
    <t>Прочие субсидии бюджетам муниципальных районов (на реализацию инвестиционных проектов субъектами малого и среднего предпринимательства в приоритетных отраслях)</t>
  </si>
  <si>
    <t>7437</t>
  </si>
  <si>
    <t>Прочие субсидии бюджетам муниципальных районов (на  модернизацию и укрепление материально-технической базы муниципальных физкультурно-спортивных организаций и муниципальных образовательных организаций, осуществляющих деятельность в области физической культуры и спорта)</t>
  </si>
  <si>
    <t>На проведение мероприятий по обеспечению антитеррористической защищенности объектов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</si>
  <si>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7666</t>
  </si>
  <si>
    <t>Прочие межбюджетные трансферты, передаваемые бюджетам муниципальных районов (на благоустройство кладбищ в рамках подпрограммы «Поддержка муниципальных проектов по благоустройству территорий и повышению активности населения в решении вопросов местного значения»)</t>
  </si>
  <si>
    <t>7668</t>
  </si>
  <si>
    <t>Прочие субсидии бюджетам муниципальных районов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t>
  </si>
  <si>
    <t>7398</t>
  </si>
  <si>
    <t>7559</t>
  </si>
  <si>
    <t>Прочие субсидии бюджетам муниципальных районов (на проведение мероприятий по обеспечению антитеррористической защищенности объектов образования)</t>
  </si>
  <si>
    <t>7463</t>
  </si>
  <si>
    <t xml:space="preserve">Прочие межбюджетные трансферты, передаваемые бюджетам муниципальных районов (на организацию (строительство) мест (площадок) накопления отходов потребления и приобретение контейнерного оборудования) </t>
  </si>
  <si>
    <t>7596</t>
  </si>
  <si>
    <t>Прочие межбюджетные трансферты, передаваемые бюджетам муниципальных районов (на финансовое обеспечение (возмещение) затрат теплоснабжающих и энергосбытовых организаций, осуществляющих производство и (или) реализацию тепловой и электрической энергии, возникших вследствие разницы между фактической стоимостью топлива и стоимостью топлива, учтенной в тарифах на тепловую и электрическую энергию на 2022 год)</t>
  </si>
  <si>
    <t>02995</t>
  </si>
  <si>
    <t>02990</t>
  </si>
  <si>
    <t>ПРОЧИЕ БЕЗВОЗМЕЗДНЫЕ ПОСТУПЛЕНИЯ</t>
  </si>
  <si>
    <t>Прочие безвозмездные поступления в бюджеты муниципальных районов</t>
  </si>
  <si>
    <t>Поступления от денежных пожертвований, предоставляемых физическими лицами получателям средств бюджетов муниципальных районов</t>
  </si>
  <si>
    <t>межбюджетные трансферты на осуществление полномочий по: 
утверждение технических заданий на разработку  и согласование инвестиционных программ;
контролю за готовностью теплоснабжающих организаций, теплосетевых организаций к отопительному периоду;
разработке и утверждению подпрограммы  по энергосбережению и повышению энергетической эффективности ;
организации обеспечения надежного теплоснабжения потребителей, водоснабжения населения;
согласование вывода источников тепловой энергии, топловых сетей, объектов централизованных систем горячего водоснабжения, холодного водоотведения в ремонт и из эксплуатации;
разработке и утверждению  краткосрочных планов капитального ремонта общего имущества многоквартирных домов; 
распределение средств субсидий на финансирование затрат теплоснаюжающих и энергосбытовых организаций;
капитальному ремонту, реконструкции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приобретение технологического оборудования , спецтехники для обеспечения функционирования  систем теплоснабжения, электроснабжения, водоотведения и очиски сточных вод</t>
  </si>
  <si>
    <t>ангарск кладбище</t>
  </si>
  <si>
    <t>8030027242</t>
  </si>
  <si>
    <t>8040027242</t>
  </si>
  <si>
    <t>8010027242</t>
  </si>
  <si>
    <t>Средства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</si>
  <si>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08100S6680</t>
  </si>
  <si>
    <t>На финансовое обеспечение (возмещение) затрат теплоснабжающих и энергосбытовых организаций, осуществляющих производство и (или) реализацию тепловой и электрической энергии, возникших вследствие разницы между фактической стоимостью топлива и стоимостью топлива, учтенной в тарифах на тепловую и электрическую энергию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</si>
  <si>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0320075960</t>
  </si>
  <si>
    <t>Субсидии в целях возмещения недополученных доходов организациям, предоставляющим на территории Богучанского района услуги на подвоз воды по тарифам, не обеспечивающим возмещение издержек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</si>
  <si>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0320080010</t>
  </si>
  <si>
    <t>Средства на проведение капитального ремонта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</si>
  <si>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0530080040</t>
  </si>
  <si>
    <t>На модернизацию и укрепление материально-технической базы муниципальных физкультурно-спортивных организаций и муниципальных образовательных организаций, осуществляющих деятельность в области физической культуры и спорта,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</si>
  <si>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07100S4370</t>
  </si>
  <si>
    <t>052A274820</t>
  </si>
  <si>
    <t>01100S5590</t>
  </si>
  <si>
    <t>Иные межбюджетные трансферты бюджетам поселений Богучанского района из районного бюджета на благоустройство кладбищ в рамках подпрограммы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</si>
  <si>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11100S6660</t>
  </si>
  <si>
    <t>1034</t>
  </si>
  <si>
    <t>Прочие межбюджетные трансферты, передаваемые бюджетам муниципальных районов (на финансовое обеспечение (возмещение) расходных обязательств муниципальных образований, связанных с увеличением с 1 июня 2022 года региональных выплат)</t>
  </si>
  <si>
    <t>1011</t>
  </si>
  <si>
    <t xml:space="preserve">Прочие межбюджетные трансферты, передаваемые бюджетам муниципальных районов (Резервный фонд Правительства Красноярского края  в рамках непрограммных расходов отдельных органов исполнительной власти) </t>
  </si>
  <si>
    <t xml:space="preserve"> рег вып (1034)</t>
  </si>
  <si>
    <t>рег в с 01.06.</t>
  </si>
  <si>
    <t>Средства на финансовое обеспечение (возмещение) расходных обязательств муниципальных образований, связанных с увеличением с 1 июня 2022 года региональных выплат в рамках непрограммных расходов органов местного самоуправления</t>
  </si>
  <si>
    <t>8020010340</t>
  </si>
  <si>
    <t>Субсидии энергоснабжающим организациям на компенсацию сверхнормативных расходов на топливо (возмещение затрат), осуществляющим производство и (или) реализацию электрической энергии, вырабатываемой дизельными электростанциями на территории Богучанского района,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</si>
  <si>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0320080020</t>
  </si>
  <si>
    <t>Резервный фонд Правительства Красноярского края в рамках непрограммных расходов отдельных органов исполнительной власти</t>
  </si>
  <si>
    <t>9010010110</t>
  </si>
  <si>
    <t>Средства на финансовое обеспечение (возмещение) расходных обязательств муниципальных образований, связанных с увеличением с 1 июня 2022 года региональных выплат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</si>
  <si>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0530010340</t>
  </si>
  <si>
    <t>Средства на финансовое обеспечение (возмещение) расходных обязательств муниципальных образований, связанных с увеличением с 1 июня 2022 года региональных выплат в рамках подпрограммы "Обеспечение реализации муниципальной программы и прочие мероприятия" муниципальной программы "Молодежь Приангарья"</t>
  </si>
  <si>
    <t>0640010340</t>
  </si>
  <si>
    <t>Отдельные мероприятия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</si>
  <si>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Средства на финансовое обеспечение (возмещение) расходных обязательств муниципальных образований, связанных с увеличением с 1 июня 2022 года региональных выплат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</si>
  <si>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0110010340</t>
  </si>
  <si>
    <t>Средства на финансовое обеспечение (возмещение) расходных обязательств муниципальных образований, связанных с увеличением с 1 июня 2022 года региональных выплат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</si>
  <si>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0420010340</t>
  </si>
  <si>
    <t>Средства на финансовое обеспечение (возмещение) расходных обязательств муниципальных образований, связанных с увеличением с 1 июня 2022 года региональных выплат в рамках подпрограммы "Обеспечение реализации муниципальной программы" муниципальной программы "Управление муниципальными финансами"</t>
  </si>
  <si>
    <t>1120010340</t>
  </si>
  <si>
    <t>Иные межбюджетные трансферты бюджетам поселений Богучанского района на финансовое обеспечение (возмещение) расходных обязательств муниципальных образований, связанных с увеличением с 1 июня 2022 года региональных выплат,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</si>
  <si>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1110010340</t>
  </si>
  <si>
    <t>7840</t>
  </si>
  <si>
    <t>Прочие межбюджетные трансферты, передаваемые бюджетам муниципальных районов (на финансовое обеспечение (возмещение) расходов, связанных с предоставлением мер социальной поддержки в сфере дошкольного и общего образования детям из семей лиц, принимающих участие в специальной военной операции)</t>
  </si>
  <si>
    <t>0853</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</si>
  <si>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</si>
  <si>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</si>
  <si>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01022</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</si>
  <si>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</si>
  <si>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 (за налоговые периоды, истекшие до 1 января 2011 года)</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</si>
  <si>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</si>
  <si>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</si>
  <si>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01130</t>
  </si>
  <si>
    <t>01133</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</si>
  <si>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</si>
  <si>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</si>
  <si>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Расходы на приобретение основных средств муниципального казенного учреждения в рамках непрограммных расходов</t>
  </si>
  <si>
    <t>907004Ф000</t>
  </si>
  <si>
    <t>Мероприятия по землеустройству и землепользованию в рамках непрограммных расходов управления муниципальной собственностью Богучанского района а счет спонсорских средств, средств благотворительных пожертвований</t>
  </si>
  <si>
    <t>90900Ж3000</t>
  </si>
  <si>
    <t>На финансовое обеспечение (возмещение) расходов, связанных с предоставлением мер социальной поддержки в сфере дошкольного и общего образования детям из семей лиц, принимающих участие в специальной военной операции,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</si>
  <si>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0110008530</t>
  </si>
  <si>
    <t>Обеспечение деятельености (оказание услуг) подведомственных учреждений за счет спонсорских средств, средств добровольных пожертвований,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</si>
  <si>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0130043000</t>
  </si>
  <si>
    <t>Расходы на развитие системы образования Богучанского района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</si>
  <si>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0130080020</t>
  </si>
  <si>
    <t>Расходы на приобретение основных средств в рамках подпрограммы "Обеспечение реализации муниципальной программы" муниципальной программы "Управление муниципальными финансами"</t>
  </si>
  <si>
    <t>112006Ф000</t>
  </si>
  <si>
    <t>кассовое</t>
  </si>
  <si>
    <t>% исполнения</t>
  </si>
  <si>
    <t>План на 2022 год</t>
  </si>
  <si>
    <t>Исполнено за 2022 год</t>
  </si>
  <si>
    <t>05300</t>
  </si>
  <si>
    <t>05326</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</si>
  <si>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</si>
  <si>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</si>
  <si>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на межселенных территориях,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</si>
  <si>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Плата за выбросы загрязняющих веществ, образующихся при сжигании на факельных  установках и (или) рассеивании попутного нефтяного газа</t>
  </si>
  <si>
    <t>006</t>
  </si>
  <si>
    <t>439</t>
  </si>
  <si>
    <t>01100</t>
  </si>
  <si>
    <t>01103</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</si>
  <si>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</si>
  <si>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</si>
  <si>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076</t>
  </si>
  <si>
    <t>188</t>
  </si>
  <si>
    <t>10129</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</si>
  <si>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</si>
  <si>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ПРОЧИЕ НЕНАЛОГОВЫЕ ДОХОДЫ</t>
  </si>
  <si>
    <t>Невыясненные поступления</t>
  </si>
  <si>
    <t>17</t>
  </si>
  <si>
    <t>180</t>
  </si>
  <si>
    <t xml:space="preserve"> Исполнено за 2022 год</t>
  </si>
  <si>
    <t xml:space="preserve"> План на 2022 год всего, в том числе:</t>
  </si>
  <si>
    <t>% исполнения, в том числе:</t>
  </si>
  <si>
    <t xml:space="preserve"> Исполнено за 2022 год всего, в том числе:</t>
  </si>
  <si>
    <t>План на 2022 год всего, в том числе:</t>
  </si>
  <si>
    <t>Исполнено за 2022 год всего, в том числе:</t>
  </si>
  <si>
    <t xml:space="preserve">Субвенции на осуществление органами местного самоуправления поселений Богучанского района государственных полномочий по созданию и обеспечению деятельности административных комиссий  за 2022 год  </t>
  </si>
  <si>
    <t>Субвенции на осуществление органами местного самоуправления поселений Богучанского района государственных полномочий по первичному воинскому учету на территориях, где отсутствуют военные комиссариаты  за 2022 год</t>
  </si>
  <si>
    <t xml:space="preserve">Иные межбюджетные трансферты бюджетам поселений Богучанского района из районного бюджета на реализацию мероприятий по трудовому воспитанию несовершеннолетних  граждан в возрасте от 14 до 18 лет на территории Богучанского района  за 2022 год </t>
  </si>
  <si>
    <t>Иные  межбюджетные  трансферты  бюджетам поселений Богучанского района из районного бюджета на содержание автомобильных дорог общего пользования местного значения за счет средств дорожного фонда Богучанского района  за 2022 год</t>
  </si>
  <si>
    <t>Иные межбюджетные трансферты   бюджетам поселений Богучанского района из районного бюджета на обеспечение первичных мер пожарной безопасности за  2022 год</t>
  </si>
  <si>
    <t>Иные межбюджетные трансферты бюджетам поселений Богучанского района на частичную компенсацию расходов на повышение оплаты труда отдельным категориям работников бюджетной сферы Богучанского района за 2022 год</t>
  </si>
  <si>
    <t xml:space="preserve">проведения акарицидных обработок наиболее посещаемых населением участков территории природных очагов клещевых инфекций за 2022 год </t>
  </si>
  <si>
    <t xml:space="preserve">Иные межбюджетные трансферты бюджетам поселений Богучанского района за содействие развитию налогового потенциала   за 2022 год </t>
  </si>
  <si>
    <t>Иные межбюджетные трансферты бюджетам сельских поселений Богучанского района из районного бюджета на осуществление расходов, направленных на реализацию мероприятий по поддержке местных инициатив за 2022 год</t>
  </si>
  <si>
    <t>Иные межбюджетные трансферты бюджетам поселений Богучанского района на финансовое обеспечение (возмещение) расходных обязательств муниципальных образований, связанных с увеличением с 1 июня 2022 года региональных выплат за 2022 году</t>
  </si>
  <si>
    <t xml:space="preserve">Приложение 13  к решению
Богучанского районного Совета депутатов
от года № </t>
  </si>
  <si>
    <t xml:space="preserve"> % исполнения всего, в том числе:</t>
  </si>
</sst>
</file>

<file path=xl/styles.xml><?xml version="1.0" encoding="utf-8"?>
<styleSheet xmlns="http://schemas.openxmlformats.org/spreadsheetml/2006/main">
  <numFmts count="14">
    <numFmt numFmtId="43" formatCode="_-* #,##0.00\ _₽_-;\-* #,##0.00\ _₽_-;_-* &quot;-&quot;??\ _₽_-;_-@_-"/>
    <numFmt numFmtId="164" formatCode="_-* #,##0_р_._-;\-* #,##0_р_._-;_-* &quot;-&quot;_р_._-;_-@_-"/>
    <numFmt numFmtId="165" formatCode="_-* #,##0.00_р_._-;\-* #,##0.00_р_._-;_-* &quot;-&quot;??_р_._-;_-@_-"/>
    <numFmt numFmtId="166" formatCode="#,##0;[Red]\-#,##0;&quot;-&quot;"/>
    <numFmt numFmtId="167" formatCode="#,##0.00;[Red]\-#,##0.00;&quot;-&quot;"/>
    <numFmt numFmtId="168" formatCode="#,##0.0"/>
    <numFmt numFmtId="169" formatCode="#,##0.00_ ;[Red]\-#,##0.00\ "/>
    <numFmt numFmtId="170" formatCode="\О\б\щ\и\й"/>
    <numFmt numFmtId="171" formatCode="#,##0.00_ ;\-#,##0.00\ "/>
    <numFmt numFmtId="172" formatCode="?"/>
    <numFmt numFmtId="173" formatCode="000000"/>
    <numFmt numFmtId="174" formatCode="#,##0_ ;[Red]\-#,##0\ "/>
    <numFmt numFmtId="175" formatCode="_-* #,##0.00_$_-;\-* #,##0.00_$_-;_-* &quot;-&quot;??_$_-;_-@_-"/>
    <numFmt numFmtId="176" formatCode="0.0"/>
  </numFmts>
  <fonts count="65">
    <font>
      <sz val="10"/>
      <name val="Arial Cyr"/>
      <charset val="204"/>
    </font>
    <font>
      <sz val="10"/>
      <name val="Arial Cyr"/>
      <charset val="204"/>
    </font>
    <font>
      <sz val="10"/>
      <name val="Arial Cyr"/>
      <charset val="204"/>
    </font>
    <font>
      <sz val="8"/>
      <name val="Arial Cyr"/>
      <charset val="204"/>
    </font>
    <font>
      <u/>
      <sz val="10"/>
      <name val="Arial Cyr"/>
      <charset val="204"/>
    </font>
    <font>
      <sz val="10"/>
      <name val="Arial"/>
      <family val="2"/>
      <charset val="204"/>
    </font>
    <font>
      <sz val="9"/>
      <name val="Arial"/>
      <family val="2"/>
      <charset val="204"/>
    </font>
    <font>
      <sz val="11"/>
      <color indexed="8"/>
      <name val="Arial"/>
      <family val="2"/>
      <charset val="204"/>
    </font>
    <font>
      <b/>
      <sz val="10"/>
      <name val="Arial"/>
      <family val="2"/>
      <charset val="204"/>
    </font>
    <font>
      <b/>
      <sz val="11"/>
      <name val="Arial"/>
      <family val="2"/>
      <charset val="204"/>
    </font>
    <font>
      <sz val="11"/>
      <name val="Arial"/>
      <family val="2"/>
      <charset val="204"/>
    </font>
    <font>
      <sz val="10"/>
      <color indexed="10"/>
      <name val="Arial"/>
      <family val="2"/>
      <charset val="204"/>
    </font>
    <font>
      <sz val="14"/>
      <name val="Arial"/>
      <family val="2"/>
      <charset val="204"/>
    </font>
    <font>
      <sz val="12"/>
      <name val="Arial"/>
      <family val="2"/>
      <charset val="204"/>
    </font>
    <font>
      <b/>
      <sz val="12"/>
      <name val="Arial"/>
      <family val="2"/>
      <charset val="204"/>
    </font>
    <font>
      <b/>
      <sz val="16"/>
      <name val="Arial"/>
      <family val="2"/>
      <charset val="204"/>
    </font>
    <font>
      <sz val="16"/>
      <name val="Arial"/>
      <family val="2"/>
      <charset val="204"/>
    </font>
    <font>
      <sz val="11"/>
      <color theme="1"/>
      <name val="Calibri"/>
      <family val="2"/>
    </font>
    <font>
      <sz val="8"/>
      <color theme="1"/>
      <name val="Calibri"/>
      <family val="2"/>
    </font>
    <font>
      <sz val="11"/>
      <color theme="1"/>
      <name val="Arial"/>
      <family val="2"/>
      <charset val="204"/>
    </font>
    <font>
      <sz val="10"/>
      <color theme="8" tint="0.39997558519241921"/>
      <name val="Arial"/>
      <family val="2"/>
      <charset val="204"/>
    </font>
    <font>
      <sz val="10"/>
      <color rgb="FFFF0000"/>
      <name val="Arial"/>
      <family val="2"/>
      <charset val="204"/>
    </font>
    <font>
      <sz val="11"/>
      <color rgb="FFFF0000"/>
      <name val="Arial"/>
      <family val="2"/>
      <charset val="204"/>
    </font>
    <font>
      <sz val="10"/>
      <color indexed="8"/>
      <name val="Arial"/>
      <family val="2"/>
      <charset val="204"/>
    </font>
    <font>
      <sz val="9"/>
      <color indexed="8"/>
      <name val="Arial"/>
      <family val="2"/>
      <charset val="204"/>
    </font>
    <font>
      <sz val="10"/>
      <name val="Times New Roman"/>
      <family val="1"/>
      <charset val="204"/>
    </font>
    <font>
      <b/>
      <sz val="11"/>
      <name val="Times New Roman"/>
      <family val="1"/>
      <charset val="204"/>
    </font>
    <font>
      <sz val="11"/>
      <color theme="1"/>
      <name val="Times New Roman"/>
      <family val="1"/>
      <charset val="204"/>
    </font>
    <font>
      <sz val="11"/>
      <name val="Times New Roman"/>
      <family val="1"/>
      <charset val="204"/>
    </font>
    <font>
      <sz val="11"/>
      <name val="Calibri"/>
      <family val="2"/>
      <charset val="204"/>
      <scheme val="minor"/>
    </font>
    <font>
      <sz val="10"/>
      <name val="Helv"/>
      <charset val="204"/>
    </font>
    <font>
      <b/>
      <i/>
      <sz val="8"/>
      <name val="Arial"/>
      <family val="2"/>
      <charset val="204"/>
    </font>
    <font>
      <sz val="8"/>
      <name val="Arial"/>
      <family val="2"/>
      <charset val="204"/>
    </font>
    <font>
      <sz val="10"/>
      <color theme="1"/>
      <name val="Arial"/>
      <family val="2"/>
      <charset val="204"/>
    </font>
    <font>
      <sz val="12"/>
      <color rgb="FF000000"/>
      <name val="Arial"/>
      <family val="2"/>
      <charset val="204"/>
    </font>
    <font>
      <sz val="10"/>
      <color rgb="FF000000"/>
      <name val="Arial"/>
      <family val="2"/>
      <charset val="204"/>
    </font>
    <font>
      <sz val="11"/>
      <name val="Arial Cyr"/>
      <charset val="204"/>
    </font>
    <font>
      <sz val="9.5"/>
      <name val="Times New Roman"/>
      <family val="1"/>
      <charset val="204"/>
    </font>
    <font>
      <b/>
      <sz val="12"/>
      <color rgb="FF000000"/>
      <name val="Times New Roman"/>
      <family val="1"/>
      <charset val="204"/>
    </font>
    <font>
      <sz val="11"/>
      <color rgb="FF000000"/>
      <name val="Times New Roman"/>
      <family val="1"/>
      <charset val="204"/>
    </font>
    <font>
      <b/>
      <sz val="10"/>
      <name val="Arial Cyr"/>
      <charset val="204"/>
    </font>
    <font>
      <sz val="10"/>
      <name val="Arial"/>
      <family val="2"/>
      <charset val="204"/>
    </font>
    <font>
      <sz val="10"/>
      <name val="Arial"/>
      <family val="2"/>
      <charset val="204"/>
    </font>
    <font>
      <sz val="10"/>
      <name val="Arial"/>
      <family val="2"/>
    </font>
    <font>
      <sz val="11"/>
      <color indexed="8"/>
      <name val="Calibri"/>
      <family val="2"/>
      <charset val="204"/>
    </font>
    <font>
      <sz val="11"/>
      <color indexed="9"/>
      <name val="Calibri"/>
      <family val="2"/>
      <charset val="204"/>
    </font>
    <font>
      <b/>
      <sz val="11"/>
      <color indexed="8"/>
      <name val="Calibri"/>
      <family val="2"/>
      <charset val="204"/>
    </font>
    <font>
      <b/>
      <sz val="11"/>
      <color indexed="9"/>
      <name val="Calibri"/>
      <family val="2"/>
      <charset val="204"/>
    </font>
    <font>
      <sz val="11"/>
      <color indexed="10"/>
      <name val="Calibri"/>
      <family val="2"/>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theme="3"/>
      <name val="Calibri"/>
      <family val="2"/>
      <charset val="204"/>
    </font>
    <font>
      <b/>
      <sz val="13"/>
      <color theme="3"/>
      <name val="Calibri"/>
      <family val="2"/>
      <charset val="204"/>
    </font>
    <font>
      <b/>
      <sz val="11"/>
      <color theme="3"/>
      <name val="Calibri"/>
      <family val="2"/>
      <charset val="204"/>
    </font>
    <font>
      <sz val="18"/>
      <color theme="3"/>
      <name val="Calibri Light"/>
      <family val="2"/>
      <charset val="204"/>
    </font>
    <font>
      <sz val="11"/>
      <color rgb="FF9C6500"/>
      <name val="Calibri"/>
      <family val="2"/>
      <charset val="204"/>
    </font>
    <font>
      <sz val="11"/>
      <color rgb="FF9C0006"/>
      <name val="Calibri"/>
      <family val="2"/>
      <charset val="204"/>
    </font>
    <font>
      <i/>
      <sz val="11"/>
      <color rgb="FF7F7F7F"/>
      <name val="Calibri"/>
      <family val="2"/>
      <charset val="204"/>
    </font>
    <font>
      <sz val="11"/>
      <color rgb="FFFA7D00"/>
      <name val="Calibri"/>
      <family val="2"/>
      <charset val="204"/>
    </font>
    <font>
      <sz val="11"/>
      <color rgb="FF006100"/>
      <name val="Calibri"/>
      <family val="2"/>
      <charset val="204"/>
    </font>
    <font>
      <sz val="12"/>
      <color rgb="FFFF0000"/>
      <name val="Arial"/>
      <family val="2"/>
      <charset val="204"/>
    </font>
    <font>
      <sz val="11"/>
      <color rgb="FF000000"/>
      <name val="Arial"/>
      <family val="2"/>
      <charset val="204"/>
    </font>
    <font>
      <b/>
      <sz val="11"/>
      <color theme="1"/>
      <name val="Arial"/>
      <family val="2"/>
      <charset val="204"/>
    </font>
    <font>
      <b/>
      <sz val="10"/>
      <color theme="1"/>
      <name val="Arial"/>
      <family val="2"/>
      <charset val="204"/>
    </font>
  </fonts>
  <fills count="3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C6EFCE"/>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style="thin">
        <color rgb="FF000000"/>
      </left>
      <right/>
      <top style="thin">
        <color rgb="FF000000"/>
      </top>
      <bottom style="thin">
        <color rgb="FF000000"/>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
      <left style="thin">
        <color indexed="64"/>
      </left>
      <right/>
      <top/>
      <bottom/>
      <diagonal/>
    </border>
    <border>
      <left style="thin">
        <color indexed="8"/>
      </left>
      <right/>
      <top style="thin">
        <color indexed="8"/>
      </top>
      <bottom/>
      <diagonal/>
    </border>
  </borders>
  <cellStyleXfs count="70">
    <xf numFmtId="0" fontId="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0" fontId="1" fillId="0" borderId="0"/>
    <xf numFmtId="0" fontId="30" fillId="0" borderId="0"/>
    <xf numFmtId="0" fontId="5" fillId="0" borderId="0"/>
    <xf numFmtId="0" fontId="41" fillId="0" borderId="0"/>
    <xf numFmtId="0" fontId="42" fillId="0" borderId="0"/>
    <xf numFmtId="0" fontId="43" fillId="0" borderId="0">
      <alignment vertical="center"/>
    </xf>
    <xf numFmtId="0" fontId="44" fillId="10"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5" fillId="4"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6"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9" fillId="9" borderId="16" applyNumberFormat="0" applyAlignment="0" applyProtection="0"/>
    <xf numFmtId="0" fontId="50" fillId="32" borderId="17" applyNumberFormat="0" applyAlignment="0" applyProtection="0"/>
    <xf numFmtId="0" fontId="51" fillId="32" borderId="16" applyNumberFormat="0" applyAlignment="0" applyProtection="0"/>
    <xf numFmtId="0" fontId="52" fillId="0" borderId="14" applyNumberFormat="0" applyFill="0" applyAlignment="0" applyProtection="0"/>
    <xf numFmtId="0" fontId="53" fillId="0" borderId="22" applyNumberFormat="0" applyFill="0" applyAlignment="0" applyProtection="0"/>
    <xf numFmtId="0" fontId="54" fillId="0" borderId="15" applyNumberFormat="0" applyFill="0" applyAlignment="0" applyProtection="0"/>
    <xf numFmtId="0" fontId="54" fillId="0" borderId="0" applyNumberFormat="0" applyFill="0" applyBorder="0" applyAlignment="0" applyProtection="0"/>
    <xf numFmtId="0" fontId="46" fillId="0" borderId="21" applyNumberFormat="0" applyFill="0" applyAlignment="0" applyProtection="0"/>
    <xf numFmtId="0" fontId="47" fillId="33" borderId="19" applyNumberFormat="0" applyAlignment="0" applyProtection="0"/>
    <xf numFmtId="0" fontId="55" fillId="0" borderId="0" applyNumberFormat="0" applyFill="0" applyBorder="0" applyAlignment="0" applyProtection="0"/>
    <xf numFmtId="0" fontId="56" fillId="34" borderId="0" applyNumberFormat="0" applyBorder="0" applyAlignment="0" applyProtection="0"/>
    <xf numFmtId="0" fontId="57" fillId="35" borderId="0" applyNumberFormat="0" applyBorder="0" applyAlignment="0" applyProtection="0"/>
    <xf numFmtId="0" fontId="58" fillId="0" borderId="0" applyNumberFormat="0" applyFill="0" applyBorder="0" applyAlignment="0" applyProtection="0"/>
    <xf numFmtId="0" fontId="43" fillId="8" borderId="20" applyNumberFormat="0" applyFont="0" applyAlignment="0" applyProtection="0"/>
    <xf numFmtId="0" fontId="59" fillId="0" borderId="18" applyNumberFormat="0" applyFill="0" applyAlignment="0" applyProtection="0"/>
    <xf numFmtId="0" fontId="48" fillId="0" borderId="0" applyNumberFormat="0" applyFill="0" applyBorder="0" applyAlignment="0" applyProtection="0"/>
    <xf numFmtId="0" fontId="60" fillId="36" borderId="0" applyNumberFormat="0" applyBorder="0" applyAlignment="0" applyProtection="0"/>
    <xf numFmtId="0" fontId="5" fillId="0" borderId="0"/>
    <xf numFmtId="0" fontId="5" fillId="0" borderId="0"/>
  </cellStyleXfs>
  <cellXfs count="549">
    <xf numFmtId="0" fontId="0" fillId="0" borderId="0" xfId="0"/>
    <xf numFmtId="0" fontId="0" fillId="0" borderId="0" xfId="0" applyAlignment="1">
      <alignment horizontal="right"/>
    </xf>
    <xf numFmtId="49" fontId="0" fillId="0" borderId="0" xfId="0" applyNumberFormat="1" applyAlignment="1">
      <alignment horizontal="right"/>
    </xf>
    <xf numFmtId="0" fontId="5" fillId="0" borderId="0" xfId="0" applyFont="1"/>
    <xf numFmtId="0" fontId="5" fillId="0" borderId="0" xfId="0" applyFont="1" applyAlignment="1">
      <alignment horizontal="right"/>
    </xf>
    <xf numFmtId="0" fontId="5" fillId="0" borderId="1" xfId="0" applyFont="1" applyBorder="1"/>
    <xf numFmtId="0" fontId="5" fillId="0" borderId="1" xfId="0" applyFont="1" applyFill="1" applyBorder="1"/>
    <xf numFmtId="0" fontId="5" fillId="0" borderId="1" xfId="0" applyFont="1" applyFill="1" applyBorder="1" applyAlignment="1">
      <alignment wrapText="1"/>
    </xf>
    <xf numFmtId="49" fontId="5" fillId="0" borderId="0" xfId="0" applyNumberFormat="1" applyFont="1" applyAlignment="1">
      <alignment horizontal="right" vertical="center"/>
    </xf>
    <xf numFmtId="4" fontId="5" fillId="0" borderId="0" xfId="0" applyNumberFormat="1" applyFont="1"/>
    <xf numFmtId="0" fontId="19" fillId="0" borderId="2" xfId="2" applyFont="1" applyFill="1" applyBorder="1" applyAlignment="1">
      <alignment horizontal="left" wrapText="1"/>
    </xf>
    <xf numFmtId="0" fontId="8" fillId="0" borderId="0" xfId="0" applyFont="1"/>
    <xf numFmtId="0" fontId="10" fillId="0" borderId="2" xfId="2" applyFont="1" applyFill="1" applyBorder="1" applyAlignment="1">
      <alignment horizontal="left" wrapText="1"/>
    </xf>
    <xf numFmtId="0" fontId="12" fillId="0" borderId="0" xfId="0" applyFont="1" applyAlignment="1">
      <alignment horizontal="right"/>
    </xf>
    <xf numFmtId="0" fontId="10" fillId="0" borderId="1" xfId="0" applyFont="1" applyBorder="1" applyAlignment="1">
      <alignment horizontal="center" vertical="top" wrapText="1"/>
    </xf>
    <xf numFmtId="0" fontId="5" fillId="0" borderId="0" xfId="0" applyFont="1" applyAlignment="1">
      <alignment horizontal="center"/>
    </xf>
    <xf numFmtId="0" fontId="10" fillId="0" borderId="1" xfId="0" applyFont="1" applyBorder="1" applyAlignment="1">
      <alignment vertical="top" wrapText="1"/>
    </xf>
    <xf numFmtId="4" fontId="10" fillId="0" borderId="1" xfId="0" applyNumberFormat="1" applyFont="1" applyBorder="1" applyAlignment="1">
      <alignment horizontal="right" vertical="top" wrapText="1"/>
    </xf>
    <xf numFmtId="0" fontId="13" fillId="0" borderId="0" xfId="0" applyFont="1"/>
    <xf numFmtId="165" fontId="5" fillId="0" borderId="0" xfId="17" applyFont="1"/>
    <xf numFmtId="49" fontId="10" fillId="0" borderId="0" xfId="0" applyNumberFormat="1" applyFont="1" applyBorder="1" applyAlignment="1">
      <alignment horizontal="center" vertical="top" wrapText="1"/>
    </xf>
    <xf numFmtId="49" fontId="9" fillId="0" borderId="0" xfId="0" applyNumberFormat="1" applyFont="1" applyAlignment="1">
      <alignment horizontal="left" vertical="top"/>
    </xf>
    <xf numFmtId="49" fontId="10" fillId="0" borderId="1" xfId="0" applyNumberFormat="1" applyFont="1" applyBorder="1" applyAlignment="1">
      <alignment horizontal="center" vertical="center" wrapText="1"/>
    </xf>
    <xf numFmtId="49" fontId="10" fillId="0" borderId="0" xfId="0" applyNumberFormat="1" applyFont="1" applyAlignment="1">
      <alignment horizontal="center" vertical="center" wrapText="1"/>
    </xf>
    <xf numFmtId="0" fontId="19" fillId="0" borderId="2" xfId="7" applyFont="1" applyFill="1" applyBorder="1" applyAlignment="1">
      <alignment horizontal="left" wrapText="1"/>
    </xf>
    <xf numFmtId="167" fontId="19" fillId="0" borderId="2" xfId="3" applyNumberFormat="1" applyFont="1" applyFill="1" applyBorder="1"/>
    <xf numFmtId="49" fontId="10" fillId="0" borderId="0" xfId="0" applyNumberFormat="1" applyFont="1" applyAlignment="1">
      <alignment horizontal="right" vertical="top"/>
    </xf>
    <xf numFmtId="170" fontId="9" fillId="0" borderId="1" xfId="0" applyNumberFormat="1" applyFont="1" applyBorder="1" applyAlignment="1">
      <alignment horizontal="left" wrapText="1"/>
    </xf>
    <xf numFmtId="4" fontId="9" fillId="0" borderId="1" xfId="0" applyNumberFormat="1" applyFont="1" applyBorder="1" applyAlignment="1">
      <alignment horizontal="right"/>
    </xf>
    <xf numFmtId="49" fontId="9" fillId="0" borderId="0" xfId="0" applyNumberFormat="1" applyFont="1" applyAlignment="1">
      <alignment horizontal="right"/>
    </xf>
    <xf numFmtId="170" fontId="10" fillId="0" borderId="0" xfId="0" applyNumberFormat="1" applyFont="1" applyAlignment="1">
      <alignment horizontal="left" vertical="top" wrapText="1"/>
    </xf>
    <xf numFmtId="4" fontId="10" fillId="0" borderId="0" xfId="0" applyNumberFormat="1" applyFont="1" applyAlignment="1">
      <alignment horizontal="right" vertical="top"/>
    </xf>
    <xf numFmtId="49" fontId="5" fillId="0" borderId="1" xfId="0" applyNumberFormat="1" applyFont="1" applyBorder="1" applyAlignment="1">
      <alignment horizontal="center" vertical="center" wrapText="1"/>
    </xf>
    <xf numFmtId="0" fontId="5" fillId="0" borderId="0" xfId="17" applyNumberFormat="1" applyFont="1"/>
    <xf numFmtId="49" fontId="9" fillId="0" borderId="1" xfId="0" applyNumberFormat="1" applyFont="1" applyBorder="1" applyAlignment="1">
      <alignment horizontal="center" vertical="center"/>
    </xf>
    <xf numFmtId="167" fontId="9" fillId="0" borderId="1" xfId="19" applyNumberFormat="1" applyFont="1" applyBorder="1" applyAlignment="1">
      <alignment horizontal="right" vertical="center"/>
    </xf>
    <xf numFmtId="0" fontId="19" fillId="0" borderId="2" xfId="6" applyFont="1" applyFill="1" applyBorder="1" applyAlignment="1">
      <alignment horizontal="left" wrapText="1"/>
    </xf>
    <xf numFmtId="171" fontId="11" fillId="0" borderId="0" xfId="17" applyNumberFormat="1" applyFont="1"/>
    <xf numFmtId="49" fontId="5" fillId="0" borderId="0" xfId="0" applyNumberFormat="1" applyFont="1"/>
    <xf numFmtId="0" fontId="7" fillId="0" borderId="2" xfId="7" applyFont="1" applyFill="1" applyBorder="1" applyAlignment="1">
      <alignment horizontal="left" wrapText="1"/>
    </xf>
    <xf numFmtId="0" fontId="10" fillId="0" borderId="1" xfId="0" applyFont="1" applyBorder="1" applyAlignment="1">
      <alignment horizontal="left" vertical="center" wrapText="1"/>
    </xf>
    <xf numFmtId="0" fontId="10" fillId="0" borderId="1" xfId="0" applyFont="1" applyBorder="1"/>
    <xf numFmtId="0" fontId="10" fillId="0" borderId="1" xfId="2" applyFont="1" applyFill="1" applyBorder="1" applyAlignment="1">
      <alignment horizontal="left" wrapText="1"/>
    </xf>
    <xf numFmtId="0" fontId="7" fillId="0" borderId="2" xfId="2" applyFont="1" applyFill="1" applyBorder="1" applyAlignment="1">
      <alignment horizontal="left" wrapText="1"/>
    </xf>
    <xf numFmtId="0" fontId="10" fillId="0" borderId="1" xfId="0" applyFont="1" applyBorder="1" applyAlignment="1">
      <alignment horizontal="justify" vertical="top" wrapText="1"/>
    </xf>
    <xf numFmtId="0" fontId="10" fillId="0" borderId="1" xfId="0" applyFont="1" applyBorder="1" applyAlignment="1">
      <alignment horizontal="left" vertical="top" wrapText="1"/>
    </xf>
    <xf numFmtId="49" fontId="7" fillId="0" borderId="1" xfId="1" applyNumberFormat="1" applyFont="1" applyFill="1" applyBorder="1" applyAlignment="1">
      <alignment vertical="center"/>
    </xf>
    <xf numFmtId="167" fontId="19" fillId="0" borderId="1" xfId="3" applyNumberFormat="1" applyFont="1" applyFill="1" applyBorder="1"/>
    <xf numFmtId="49" fontId="19" fillId="0" borderId="1" xfId="1" applyNumberFormat="1" applyFont="1" applyFill="1" applyBorder="1" applyAlignment="1">
      <alignment vertical="center"/>
    </xf>
    <xf numFmtId="49" fontId="9" fillId="0" borderId="1" xfId="0" applyNumberFormat="1" applyFont="1" applyBorder="1" applyAlignment="1">
      <alignment horizontal="right"/>
    </xf>
    <xf numFmtId="0" fontId="5" fillId="0" borderId="1" xfId="0" applyNumberFormat="1" applyFont="1" applyFill="1" applyBorder="1" applyAlignment="1">
      <alignment horizontal="left" vertical="top" wrapText="1"/>
    </xf>
    <xf numFmtId="0" fontId="5" fillId="0" borderId="1" xfId="0" applyFont="1" applyBorder="1" applyAlignment="1">
      <alignment wrapText="1"/>
    </xf>
    <xf numFmtId="0" fontId="5" fillId="0" borderId="0" xfId="0" applyFont="1" applyAlignment="1">
      <alignment wrapText="1"/>
    </xf>
    <xf numFmtId="168" fontId="15" fillId="0" borderId="0" xfId="0" applyNumberFormat="1" applyFont="1" applyFill="1" applyAlignment="1">
      <alignment horizontal="center" wrapText="1"/>
    </xf>
    <xf numFmtId="168" fontId="15" fillId="0" borderId="0" xfId="0" applyNumberFormat="1" applyFont="1" applyFill="1" applyAlignment="1">
      <alignment horizontal="center" vertical="top" wrapText="1"/>
    </xf>
    <xf numFmtId="0" fontId="16" fillId="0" borderId="0" xfId="0" applyFont="1" applyFill="1" applyAlignment="1">
      <alignment wrapText="1"/>
    </xf>
    <xf numFmtId="0" fontId="13" fillId="0" borderId="0" xfId="0" applyFont="1" applyFill="1" applyAlignment="1">
      <alignment horizontal="center" vertical="top" wrapText="1" shrinkToFit="1"/>
    </xf>
    <xf numFmtId="49" fontId="14" fillId="0" borderId="0" xfId="0" applyNumberFormat="1" applyFont="1" applyFill="1" applyBorder="1" applyAlignment="1">
      <alignment horizontal="center" wrapText="1" shrinkToFit="1"/>
    </xf>
    <xf numFmtId="49" fontId="14" fillId="0" borderId="0" xfId="0" applyNumberFormat="1" applyFont="1" applyFill="1" applyBorder="1" applyAlignment="1">
      <alignment horizontal="center" vertical="top" wrapText="1" shrinkToFit="1"/>
    </xf>
    <xf numFmtId="0" fontId="13" fillId="0" borderId="0" xfId="0" applyFont="1" applyFill="1" applyAlignment="1">
      <alignment horizontal="center" wrapText="1" shrinkToFit="1"/>
    </xf>
    <xf numFmtId="0" fontId="10" fillId="0" borderId="1" xfId="0" applyFont="1" applyFill="1" applyBorder="1" applyAlignment="1">
      <alignment horizontal="center" vertical="center" wrapText="1" shrinkToFit="1"/>
    </xf>
    <xf numFmtId="0" fontId="5" fillId="0" borderId="0" xfId="0" applyFont="1" applyFill="1" applyAlignment="1">
      <alignment horizontal="center" vertical="center" wrapText="1" shrinkToFit="1"/>
    </xf>
    <xf numFmtId="49" fontId="9" fillId="0" borderId="1" xfId="0" applyNumberFormat="1" applyFont="1" applyFill="1" applyBorder="1" applyAlignment="1">
      <alignment horizontal="center" vertical="top"/>
    </xf>
    <xf numFmtId="49" fontId="9" fillId="0" borderId="1" xfId="0" applyNumberFormat="1" applyFont="1" applyFill="1" applyBorder="1" applyAlignment="1">
      <alignment horizontal="center" vertical="top" wrapText="1" shrinkToFit="1"/>
    </xf>
    <xf numFmtId="49" fontId="9" fillId="0" borderId="1" xfId="0" applyNumberFormat="1" applyFont="1" applyFill="1" applyBorder="1" applyAlignment="1">
      <alignment horizontal="left" vertical="top" wrapText="1" shrinkToFit="1"/>
    </xf>
    <xf numFmtId="0" fontId="10" fillId="0" borderId="1" xfId="0" applyFont="1" applyFill="1" applyBorder="1" applyAlignment="1">
      <alignment horizontal="center" vertical="top" wrapText="1"/>
    </xf>
    <xf numFmtId="49" fontId="10" fillId="0" borderId="1" xfId="0" applyNumberFormat="1" applyFont="1" applyFill="1" applyBorder="1" applyAlignment="1">
      <alignment horizontal="center" vertical="top"/>
    </xf>
    <xf numFmtId="49" fontId="10" fillId="0" borderId="1" xfId="0" applyNumberFormat="1" applyFont="1" applyFill="1" applyBorder="1" applyAlignment="1">
      <alignment vertical="top"/>
    </xf>
    <xf numFmtId="0" fontId="10" fillId="0" borderId="1" xfId="0" applyNumberFormat="1" applyFont="1" applyBorder="1" applyAlignment="1">
      <alignment vertical="top" wrapText="1"/>
    </xf>
    <xf numFmtId="49" fontId="10" fillId="0" borderId="0" xfId="0" applyNumberFormat="1" applyFont="1" applyAlignment="1">
      <alignment vertical="top"/>
    </xf>
    <xf numFmtId="49" fontId="10" fillId="0" borderId="1" xfId="0" applyNumberFormat="1" applyFont="1" applyBorder="1" applyAlignment="1">
      <alignment vertical="top"/>
    </xf>
    <xf numFmtId="0" fontId="13" fillId="0" borderId="0" xfId="0" applyFont="1" applyFill="1" applyAlignment="1">
      <alignment horizontal="center" vertical="top" wrapText="1"/>
    </xf>
    <xf numFmtId="0" fontId="13" fillId="0" borderId="0" xfId="0" applyFont="1" applyFill="1" applyAlignment="1">
      <alignment vertical="top" wrapText="1"/>
    </xf>
    <xf numFmtId="0" fontId="13" fillId="0" borderId="0" xfId="0" applyFont="1" applyFill="1" applyAlignment="1">
      <alignment wrapText="1"/>
    </xf>
    <xf numFmtId="0" fontId="13" fillId="0" borderId="0" xfId="0" applyFont="1" applyFill="1" applyAlignment="1">
      <alignment horizontal="center" wrapText="1"/>
    </xf>
    <xf numFmtId="165" fontId="10" fillId="0" borderId="1" xfId="18" applyFont="1" applyBorder="1" applyAlignment="1">
      <alignment horizontal="center" vertical="center" wrapText="1"/>
    </xf>
    <xf numFmtId="4" fontId="10" fillId="0" borderId="1" xfId="0" applyNumberFormat="1" applyFont="1" applyBorder="1" applyAlignment="1">
      <alignment horizontal="right"/>
    </xf>
    <xf numFmtId="4" fontId="10" fillId="0" borderId="1" xfId="0" applyNumberFormat="1" applyFont="1" applyFill="1" applyBorder="1" applyAlignment="1">
      <alignment horizontal="right"/>
    </xf>
    <xf numFmtId="4" fontId="10" fillId="0" borderId="1" xfId="0" applyNumberFormat="1" applyFont="1" applyBorder="1" applyAlignment="1"/>
    <xf numFmtId="0" fontId="13" fillId="0" borderId="1" xfId="0" applyFont="1" applyFill="1" applyBorder="1" applyAlignment="1">
      <alignment wrapText="1"/>
    </xf>
    <xf numFmtId="2" fontId="8" fillId="0" borderId="0" xfId="0" applyNumberFormat="1" applyFont="1"/>
    <xf numFmtId="49" fontId="20" fillId="0" borderId="0" xfId="0" applyNumberFormat="1" applyFont="1"/>
    <xf numFmtId="49" fontId="9" fillId="0" borderId="0" xfId="0" applyNumberFormat="1" applyFont="1" applyAlignment="1">
      <alignment horizontal="left" vertical="center"/>
    </xf>
    <xf numFmtId="0" fontId="16" fillId="0" borderId="0" xfId="0" applyFont="1" applyAlignment="1">
      <alignment vertical="center" wrapText="1"/>
    </xf>
    <xf numFmtId="0" fontId="16" fillId="0" borderId="0" xfId="0" applyFont="1"/>
    <xf numFmtId="0" fontId="5" fillId="0" borderId="0" xfId="0" applyFont="1" applyAlignment="1">
      <alignment horizontal="center" vertical="center"/>
    </xf>
    <xf numFmtId="0" fontId="14" fillId="0" borderId="0" xfId="0" applyFont="1"/>
    <xf numFmtId="0" fontId="9" fillId="0" borderId="1" xfId="0" applyFont="1" applyBorder="1" applyAlignment="1">
      <alignment horizontal="left" wrapText="1"/>
    </xf>
    <xf numFmtId="0" fontId="16" fillId="0" borderId="0" xfId="0" applyFont="1" applyBorder="1" applyAlignment="1">
      <alignment horizontal="center" vertical="center" wrapText="1"/>
    </xf>
    <xf numFmtId="0" fontId="5" fillId="0" borderId="0" xfId="0" applyFont="1" applyAlignment="1">
      <alignment horizontal="right" wrapText="1"/>
    </xf>
    <xf numFmtId="167" fontId="19" fillId="0" borderId="0" xfId="3" applyNumberFormat="1" applyFont="1" applyFill="1" applyBorder="1"/>
    <xf numFmtId="4" fontId="9" fillId="0" borderId="0" xfId="0" applyNumberFormat="1" applyFont="1" applyBorder="1" applyAlignment="1">
      <alignment horizontal="right"/>
    </xf>
    <xf numFmtId="49" fontId="5" fillId="0" borderId="0" xfId="0" applyNumberFormat="1" applyFont="1" applyBorder="1" applyAlignment="1">
      <alignment horizontal="center" vertical="center" wrapText="1"/>
    </xf>
    <xf numFmtId="49" fontId="5" fillId="0" borderId="0" xfId="0" applyNumberFormat="1" applyFont="1" applyAlignment="1">
      <alignment horizontal="center" vertical="center" wrapText="1"/>
    </xf>
    <xf numFmtId="166" fontId="5" fillId="0" borderId="0" xfId="3" applyNumberFormat="1" applyFont="1" applyFill="1" applyBorder="1"/>
    <xf numFmtId="49" fontId="22" fillId="0" borderId="0" xfId="0" applyNumberFormat="1" applyFont="1" applyAlignment="1">
      <alignment horizontal="center" vertical="center" wrapText="1"/>
    </xf>
    <xf numFmtId="4" fontId="22" fillId="0" borderId="0" xfId="0" applyNumberFormat="1" applyFont="1" applyAlignment="1">
      <alignment horizontal="center" vertical="center" wrapText="1"/>
    </xf>
    <xf numFmtId="49" fontId="9" fillId="0" borderId="1" xfId="0" applyNumberFormat="1" applyFont="1" applyBorder="1" applyAlignment="1">
      <alignment horizontal="left" vertical="center"/>
    </xf>
    <xf numFmtId="0" fontId="21" fillId="0" borderId="0" xfId="0" applyFont="1" applyAlignment="1">
      <alignment horizontal="right"/>
    </xf>
    <xf numFmtId="2" fontId="21" fillId="0" borderId="0" xfId="17" applyNumberFormat="1" applyFont="1"/>
    <xf numFmtId="2" fontId="21" fillId="0" borderId="0" xfId="0" applyNumberFormat="1" applyFont="1"/>
    <xf numFmtId="169" fontId="21" fillId="0" borderId="0" xfId="0" applyNumberFormat="1" applyFont="1"/>
    <xf numFmtId="49" fontId="5" fillId="0" borderId="7" xfId="0" applyNumberFormat="1" applyFont="1" applyBorder="1" applyAlignment="1">
      <alignment horizontal="center" vertical="center" wrapText="1"/>
    </xf>
    <xf numFmtId="49" fontId="19" fillId="0" borderId="3" xfId="5" applyNumberFormat="1" applyFont="1" applyFill="1" applyBorder="1" applyAlignment="1">
      <alignment vertical="center"/>
    </xf>
    <xf numFmtId="49" fontId="19" fillId="0" borderId="3" xfId="8" applyNumberFormat="1" applyFont="1" applyFill="1" applyBorder="1" applyAlignment="1">
      <alignment vertical="center"/>
    </xf>
    <xf numFmtId="0" fontId="14" fillId="0" borderId="8" xfId="0" applyFont="1" applyBorder="1" applyAlignment="1"/>
    <xf numFmtId="0" fontId="5" fillId="0" borderId="0" xfId="0" applyFont="1" applyFill="1"/>
    <xf numFmtId="49" fontId="5" fillId="0" borderId="0" xfId="0" applyNumberFormat="1" applyFont="1" applyFill="1" applyAlignment="1">
      <alignment horizontal="right" vertical="center"/>
    </xf>
    <xf numFmtId="167" fontId="6" fillId="0" borderId="0" xfId="0" applyNumberFormat="1" applyFont="1" applyFill="1" applyBorder="1" applyAlignment="1">
      <alignment horizontal="left" wrapText="1"/>
    </xf>
    <xf numFmtId="4" fontId="11" fillId="0" borderId="0" xfId="0" applyNumberFormat="1" applyFont="1" applyFill="1" applyAlignment="1">
      <alignment horizontal="left"/>
    </xf>
    <xf numFmtId="4" fontId="5" fillId="0" borderId="0" xfId="0" applyNumberFormat="1" applyFont="1" applyFill="1"/>
    <xf numFmtId="0" fontId="13" fillId="0" borderId="0" xfId="0" applyFont="1" applyAlignment="1">
      <alignment horizontal="right" wrapText="1"/>
    </xf>
    <xf numFmtId="0" fontId="13" fillId="0" borderId="0" xfId="0" applyFont="1" applyFill="1"/>
    <xf numFmtId="0" fontId="13" fillId="0" borderId="0" xfId="0" applyFont="1" applyBorder="1" applyAlignment="1">
      <alignment vertical="center" wrapText="1"/>
    </xf>
    <xf numFmtId="0" fontId="14" fillId="0" borderId="0" xfId="0" applyFont="1" applyFill="1"/>
    <xf numFmtId="0" fontId="5" fillId="0" borderId="1" xfId="0" applyFont="1" applyFill="1" applyBorder="1" applyAlignment="1">
      <alignment horizontal="center" vertical="center" wrapText="1"/>
    </xf>
    <xf numFmtId="0" fontId="13" fillId="0" borderId="0" xfId="0" applyFont="1" applyFill="1" applyAlignment="1">
      <alignment horizontal="center" vertical="center"/>
    </xf>
    <xf numFmtId="0" fontId="13" fillId="0" borderId="0" xfId="0" applyFont="1" applyFill="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wrapText="1"/>
    </xf>
    <xf numFmtId="0" fontId="10" fillId="0" borderId="1" xfId="0" applyFont="1" applyFill="1" applyBorder="1" applyAlignment="1">
      <alignment horizontal="left" vertical="top" wrapText="1"/>
    </xf>
    <xf numFmtId="0" fontId="5" fillId="0" borderId="0" xfId="0" applyFont="1" applyAlignment="1">
      <alignment horizontal="left"/>
    </xf>
    <xf numFmtId="49" fontId="5" fillId="0" borderId="1" xfId="0" applyNumberFormat="1" applyFont="1" applyFill="1" applyBorder="1" applyAlignment="1">
      <alignment horizontal="left" vertical="center" wrapText="1"/>
    </xf>
    <xf numFmtId="0" fontId="20" fillId="0" borderId="0" xfId="0" applyNumberFormat="1" applyFont="1"/>
    <xf numFmtId="0" fontId="5" fillId="0" borderId="0" xfId="0" applyNumberFormat="1" applyFont="1"/>
    <xf numFmtId="0" fontId="5" fillId="0" borderId="0" xfId="0" applyNumberFormat="1" applyFont="1" applyFill="1"/>
    <xf numFmtId="2" fontId="5" fillId="0" borderId="0" xfId="0" applyNumberFormat="1" applyFont="1"/>
    <xf numFmtId="174" fontId="0" fillId="0" borderId="0" xfId="0" applyNumberFormat="1"/>
    <xf numFmtId="0" fontId="5" fillId="0" borderId="0" xfId="0" applyNumberFormat="1" applyFont="1" applyAlignment="1">
      <alignment horizontal="left"/>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top" wrapText="1"/>
    </xf>
    <xf numFmtId="11" fontId="13" fillId="0" borderId="1" xfId="0" applyNumberFormat="1" applyFont="1" applyFill="1" applyBorder="1" applyAlignment="1">
      <alignment horizontal="left" vertical="center" wrapText="1"/>
    </xf>
    <xf numFmtId="0" fontId="13" fillId="0" borderId="1" xfId="0" applyFont="1" applyBorder="1" applyAlignment="1">
      <alignment horizontal="left" vertical="center" wrapText="1"/>
    </xf>
    <xf numFmtId="2" fontId="13" fillId="0" borderId="1" xfId="0" applyNumberFormat="1" applyFont="1" applyFill="1" applyBorder="1" applyAlignment="1">
      <alignment horizontal="left" vertical="center" wrapText="1"/>
    </xf>
    <xf numFmtId="173" fontId="13" fillId="0" borderId="1" xfId="0" applyNumberFormat="1" applyFont="1" applyFill="1" applyBorder="1" applyAlignment="1">
      <alignment horizontal="left" vertical="center" wrapText="1"/>
    </xf>
    <xf numFmtId="4" fontId="5" fillId="0" borderId="1" xfId="0" applyNumberFormat="1" applyFont="1" applyFill="1" applyBorder="1" applyAlignment="1">
      <alignment horizontal="right"/>
    </xf>
    <xf numFmtId="4" fontId="5" fillId="0" borderId="1" xfId="0" applyNumberFormat="1" applyFont="1" applyBorder="1" applyAlignment="1">
      <alignment horizontal="right"/>
    </xf>
    <xf numFmtId="0" fontId="8" fillId="0" borderId="1" xfId="0" applyFont="1" applyFill="1" applyBorder="1" applyAlignment="1">
      <alignment horizontal="center" vertical="top" wrapText="1"/>
    </xf>
    <xf numFmtId="0" fontId="8" fillId="0" borderId="1" xfId="0" applyFont="1" applyBorder="1" applyAlignment="1">
      <alignment horizontal="left" vertical="top" wrapText="1"/>
    </xf>
    <xf numFmtId="49" fontId="13" fillId="0" borderId="7"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wrapText="1"/>
    </xf>
    <xf numFmtId="172" fontId="5" fillId="0" borderId="1" xfId="0" applyNumberFormat="1" applyFont="1" applyFill="1" applyBorder="1" applyAlignment="1">
      <alignment horizontal="left" vertical="center" wrapText="1"/>
    </xf>
    <xf numFmtId="49" fontId="5" fillId="0" borderId="1" xfId="0" applyNumberFormat="1" applyFont="1" applyBorder="1" applyAlignment="1">
      <alignment wrapText="1"/>
    </xf>
    <xf numFmtId="0" fontId="5" fillId="0" borderId="1" xfId="0" applyFont="1" applyFill="1" applyBorder="1" applyAlignment="1">
      <alignment horizontal="left" wrapText="1"/>
    </xf>
    <xf numFmtId="2" fontId="5" fillId="0" borderId="1" xfId="0" applyNumberFormat="1" applyFont="1" applyBorder="1" applyAlignment="1">
      <alignment horizontal="justify" vertical="top" wrapText="1"/>
    </xf>
    <xf numFmtId="4" fontId="8" fillId="0" borderId="0" xfId="0" applyNumberFormat="1" applyFont="1"/>
    <xf numFmtId="0" fontId="25" fillId="0" borderId="0" xfId="0" applyFont="1"/>
    <xf numFmtId="49" fontId="25" fillId="0" borderId="0" xfId="0" applyNumberFormat="1" applyFont="1" applyAlignment="1">
      <alignment horizontal="right" vertical="center"/>
    </xf>
    <xf numFmtId="49" fontId="26" fillId="0" borderId="1" xfId="0" applyNumberFormat="1" applyFont="1" applyBorder="1" applyAlignment="1">
      <alignment horizontal="center" vertical="center"/>
    </xf>
    <xf numFmtId="166" fontId="27" fillId="0" borderId="1" xfId="3" applyNumberFormat="1" applyFont="1" applyFill="1" applyBorder="1"/>
    <xf numFmtId="49" fontId="5" fillId="0" borderId="1" xfId="0" applyNumberFormat="1" applyFont="1" applyBorder="1" applyAlignment="1">
      <alignment horizontal="center"/>
    </xf>
    <xf numFmtId="49" fontId="5" fillId="0" borderId="1" xfId="0" applyNumberFormat="1" applyFont="1" applyBorder="1"/>
    <xf numFmtId="49" fontId="5" fillId="0" borderId="1" xfId="0" applyNumberFormat="1" applyFont="1" applyFill="1" applyBorder="1" applyAlignment="1">
      <alignment horizontal="center"/>
    </xf>
    <xf numFmtId="49" fontId="5" fillId="0" borderId="1" xfId="0" applyNumberFormat="1" applyFont="1" applyFill="1" applyBorder="1" applyAlignment="1"/>
    <xf numFmtId="0" fontId="5" fillId="0" borderId="1" xfId="22" applyNumberFormat="1" applyFont="1" applyFill="1" applyBorder="1" applyAlignment="1">
      <alignment horizontal="left" vertical="top" wrapText="1"/>
    </xf>
    <xf numFmtId="49" fontId="23" fillId="0" borderId="1" xfId="0" applyNumberFormat="1" applyFont="1" applyFill="1" applyBorder="1" applyAlignment="1"/>
    <xf numFmtId="0" fontId="13" fillId="0" borderId="1" xfId="22" applyNumberFormat="1" applyFont="1" applyFill="1" applyBorder="1" applyAlignment="1">
      <alignment horizontal="left" vertical="top" wrapText="1"/>
    </xf>
    <xf numFmtId="4" fontId="5" fillId="0" borderId="1" xfId="0" applyNumberFormat="1" applyFont="1" applyBorder="1"/>
    <xf numFmtId="4" fontId="5" fillId="0" borderId="1" xfId="17" applyNumberFormat="1" applyFont="1" applyBorder="1"/>
    <xf numFmtId="0" fontId="5" fillId="0" borderId="0" xfId="0" applyFont="1" applyAlignment="1">
      <alignment horizontal="right" wrapText="1"/>
    </xf>
    <xf numFmtId="4" fontId="5" fillId="0" borderId="0" xfId="0" applyNumberFormat="1" applyFont="1" applyAlignment="1">
      <alignment horizontal="right"/>
    </xf>
    <xf numFmtId="49" fontId="28" fillId="0" borderId="1" xfId="0" applyNumberFormat="1" applyFont="1" applyBorder="1" applyAlignment="1">
      <alignment horizontal="center" vertical="center" wrapText="1"/>
    </xf>
    <xf numFmtId="49" fontId="31" fillId="0" borderId="1" xfId="0" applyNumberFormat="1" applyFont="1" applyFill="1" applyBorder="1" applyAlignment="1">
      <alignment horizontal="center" vertical="top" wrapText="1"/>
    </xf>
    <xf numFmtId="49" fontId="31" fillId="0" borderId="1" xfId="0" applyNumberFormat="1" applyFont="1" applyFill="1" applyBorder="1" applyAlignment="1">
      <alignment horizontal="left" vertical="top" wrapText="1"/>
    </xf>
    <xf numFmtId="49" fontId="32" fillId="0" borderId="10" xfId="0" applyNumberFormat="1" applyFont="1" applyFill="1" applyBorder="1" applyAlignment="1">
      <alignment horizontal="center" vertical="top" wrapText="1"/>
    </xf>
    <xf numFmtId="172" fontId="32" fillId="0" borderId="10" xfId="0" applyNumberFormat="1" applyFont="1" applyFill="1" applyBorder="1" applyAlignment="1">
      <alignment horizontal="left" vertical="top" wrapText="1"/>
    </xf>
    <xf numFmtId="49" fontId="32" fillId="0" borderId="10" xfId="0" applyNumberFormat="1" applyFont="1" applyFill="1" applyBorder="1" applyAlignment="1">
      <alignment horizontal="left" vertical="top" wrapText="1"/>
    </xf>
    <xf numFmtId="172" fontId="31" fillId="0" borderId="1" xfId="0" applyNumberFormat="1" applyFont="1" applyFill="1" applyBorder="1" applyAlignment="1">
      <alignment horizontal="left" vertical="top" wrapText="1"/>
    </xf>
    <xf numFmtId="49" fontId="32" fillId="0" borderId="11" xfId="0" applyNumberFormat="1" applyFont="1" applyFill="1" applyBorder="1" applyAlignment="1">
      <alignment horizontal="center" vertical="top" wrapText="1"/>
    </xf>
    <xf numFmtId="172" fontId="32" fillId="0" borderId="11" xfId="0" applyNumberFormat="1" applyFont="1" applyFill="1" applyBorder="1" applyAlignment="1">
      <alignment horizontal="left" vertical="top" wrapText="1"/>
    </xf>
    <xf numFmtId="49" fontId="0" fillId="0" borderId="1" xfId="0" applyNumberFormat="1" applyBorder="1" applyAlignment="1">
      <alignment horizontal="right"/>
    </xf>
    <xf numFmtId="0" fontId="0" fillId="0" borderId="1" xfId="0" applyFont="1" applyBorder="1" applyAlignment="1">
      <alignment wrapText="1"/>
    </xf>
    <xf numFmtId="0" fontId="0" fillId="0" borderId="1" xfId="0" applyNumberFormat="1" applyBorder="1" applyAlignment="1">
      <alignment wrapText="1"/>
    </xf>
    <xf numFmtId="49" fontId="0" fillId="0" borderId="1" xfId="0" applyNumberFormat="1" applyBorder="1"/>
    <xf numFmtId="0" fontId="29" fillId="0" borderId="1" xfId="0" applyFont="1" applyBorder="1" applyAlignment="1">
      <alignment wrapText="1"/>
    </xf>
    <xf numFmtId="0" fontId="29" fillId="0" borderId="1" xfId="0" applyNumberFormat="1" applyFont="1" applyBorder="1" applyAlignment="1">
      <alignment wrapText="1"/>
    </xf>
    <xf numFmtId="49" fontId="0" fillId="0" borderId="0" xfId="0" applyNumberFormat="1"/>
    <xf numFmtId="0" fontId="29" fillId="0" borderId="0" xfId="0" applyFont="1" applyAlignment="1">
      <alignment wrapText="1"/>
    </xf>
    <xf numFmtId="0" fontId="29" fillId="0" borderId="0" xfId="0" applyFont="1" applyFill="1" applyBorder="1" applyAlignment="1">
      <alignment wrapText="1"/>
    </xf>
    <xf numFmtId="3" fontId="13" fillId="0" borderId="0" xfId="0" applyNumberFormat="1" applyFont="1"/>
    <xf numFmtId="0" fontId="25" fillId="0" borderId="1" xfId="0" applyFont="1" applyBorder="1" applyAlignment="1">
      <alignment horizontal="center" vertical="top" wrapText="1"/>
    </xf>
    <xf numFmtId="0" fontId="25" fillId="0" borderId="1" xfId="0" applyFont="1" applyFill="1" applyBorder="1" applyAlignment="1">
      <alignment horizontal="center" vertical="top" wrapText="1"/>
    </xf>
    <xf numFmtId="0" fontId="25" fillId="0" borderId="1" xfId="0" quotePrefix="1" applyFont="1" applyBorder="1" applyAlignment="1">
      <alignment horizontal="left" vertical="top" wrapText="1"/>
    </xf>
    <xf numFmtId="0" fontId="25" fillId="0" borderId="1" xfId="0" applyFont="1" applyBorder="1" applyAlignment="1">
      <alignment vertical="top" wrapText="1"/>
    </xf>
    <xf numFmtId="0" fontId="25" fillId="0" borderId="1" xfId="0" applyFont="1" applyBorder="1" applyAlignment="1">
      <alignment horizontal="center" vertical="top"/>
    </xf>
    <xf numFmtId="0" fontId="25" fillId="0" borderId="4" xfId="0" applyNumberFormat="1" applyFont="1" applyFill="1" applyBorder="1" applyAlignment="1">
      <alignment horizontal="center" vertical="center" wrapText="1"/>
    </xf>
    <xf numFmtId="0" fontId="16" fillId="0" borderId="8" xfId="0" applyFont="1" applyBorder="1" applyAlignment="1">
      <alignment horizontal="center" wrapText="1"/>
    </xf>
    <xf numFmtId="0" fontId="10" fillId="0" borderId="8" xfId="0" applyFont="1" applyBorder="1" applyAlignment="1">
      <alignment horizontal="center"/>
    </xf>
    <xf numFmtId="0" fontId="25" fillId="0" borderId="1" xfId="0" applyFont="1" applyFill="1" applyBorder="1" applyAlignment="1">
      <alignment wrapText="1"/>
    </xf>
    <xf numFmtId="0" fontId="25" fillId="0" borderId="1" xfId="0" applyFont="1" applyFill="1" applyBorder="1" applyAlignment="1">
      <alignment horizontal="left" wrapText="1"/>
    </xf>
    <xf numFmtId="0" fontId="0" fillId="0" borderId="1" xfId="0" applyBorder="1"/>
    <xf numFmtId="0" fontId="25" fillId="0" borderId="1" xfId="0" applyFont="1" applyFill="1" applyBorder="1" applyAlignment="1">
      <alignment horizontal="center" vertical="top"/>
    </xf>
    <xf numFmtId="0" fontId="25" fillId="0" borderId="1" xfId="0" applyFont="1" applyFill="1" applyBorder="1" applyAlignment="1">
      <alignment vertical="top" wrapText="1"/>
    </xf>
    <xf numFmtId="0" fontId="25" fillId="0" borderId="4" xfId="0" applyNumberFormat="1" applyFont="1" applyFill="1" applyBorder="1" applyAlignment="1">
      <alignment vertical="center" wrapText="1"/>
    </xf>
    <xf numFmtId="0" fontId="25" fillId="0" borderId="1" xfId="0" applyFont="1" applyBorder="1"/>
    <xf numFmtId="0" fontId="25" fillId="0" borderId="0" xfId="0" applyNumberFormat="1" applyFont="1" applyFill="1" applyAlignment="1">
      <alignment wrapText="1"/>
    </xf>
    <xf numFmtId="0" fontId="25" fillId="0" borderId="1" xfId="0" quotePrefix="1" applyFont="1" applyBorder="1" applyAlignment="1">
      <alignment horizontal="center" wrapText="1"/>
    </xf>
    <xf numFmtId="49" fontId="4" fillId="0" borderId="0" xfId="0" applyNumberFormat="1" applyFont="1" applyAlignment="1">
      <alignment horizontal="right"/>
    </xf>
    <xf numFmtId="0" fontId="5" fillId="0" borderId="1" xfId="0" applyNumberFormat="1" applyFont="1" applyFill="1" applyBorder="1" applyAlignment="1">
      <alignment horizontal="left" wrapText="1"/>
    </xf>
    <xf numFmtId="0" fontId="16" fillId="0" borderId="0" xfId="0" applyFont="1" applyBorder="1" applyAlignment="1">
      <alignment horizontal="center" vertical="center" wrapText="1"/>
    </xf>
    <xf numFmtId="0" fontId="5" fillId="0" borderId="1" xfId="0" applyNumberFormat="1" applyFont="1" applyFill="1" applyBorder="1"/>
    <xf numFmtId="0" fontId="16" fillId="0" borderId="0" xfId="0" applyFont="1" applyBorder="1" applyAlignment="1">
      <alignment horizontal="center" vertical="center" wrapText="1"/>
    </xf>
    <xf numFmtId="0" fontId="13" fillId="0" borderId="1" xfId="0" applyFont="1" applyFill="1" applyBorder="1" applyAlignment="1">
      <alignment horizontal="center"/>
    </xf>
    <xf numFmtId="2" fontId="5" fillId="0" borderId="1" xfId="0" applyNumberFormat="1" applyFont="1" applyBorder="1"/>
    <xf numFmtId="4" fontId="9" fillId="0" borderId="1" xfId="0" applyNumberFormat="1" applyFont="1" applyBorder="1" applyAlignment="1">
      <alignment wrapText="1"/>
    </xf>
    <xf numFmtId="4" fontId="9" fillId="0" borderId="1" xfId="17" applyNumberFormat="1" applyFont="1" applyBorder="1" applyAlignment="1">
      <alignment horizontal="right" wrapText="1"/>
    </xf>
    <xf numFmtId="4" fontId="10" fillId="0" borderId="1" xfId="0" applyNumberFormat="1" applyFont="1" applyBorder="1" applyAlignment="1">
      <alignment horizontal="right" vertical="center" wrapText="1"/>
    </xf>
    <xf numFmtId="4" fontId="10" fillId="0" borderId="1" xfId="0" applyNumberFormat="1" applyFont="1" applyBorder="1"/>
    <xf numFmtId="4" fontId="10" fillId="0" borderId="1" xfId="17" applyNumberFormat="1" applyFont="1" applyBorder="1" applyAlignment="1">
      <alignment horizontal="right"/>
    </xf>
    <xf numFmtId="4" fontId="9" fillId="0" borderId="1" xfId="0" applyNumberFormat="1" applyFont="1" applyBorder="1" applyAlignment="1">
      <alignment horizontal="right" vertical="center" wrapText="1"/>
    </xf>
    <xf numFmtId="169" fontId="9" fillId="0" borderId="1" xfId="19" applyNumberFormat="1" applyFont="1" applyBorder="1" applyAlignment="1">
      <alignment horizontal="right" vertical="center"/>
    </xf>
    <xf numFmtId="169" fontId="7" fillId="0" borderId="2" xfId="1" applyNumberFormat="1" applyFont="1" applyFill="1" applyBorder="1" applyAlignment="1">
      <alignment vertical="center"/>
    </xf>
    <xf numFmtId="169" fontId="19" fillId="0" borderId="2" xfId="3" applyNumberFormat="1" applyFont="1" applyFill="1" applyBorder="1"/>
    <xf numFmtId="169" fontId="19" fillId="0" borderId="1" xfId="3" applyNumberFormat="1" applyFont="1" applyFill="1" applyBorder="1"/>
    <xf numFmtId="0" fontId="5" fillId="0" borderId="1" xfId="0" applyNumberFormat="1" applyFont="1" applyBorder="1" applyAlignment="1">
      <alignment horizontal="left"/>
    </xf>
    <xf numFmtId="0" fontId="19" fillId="0" borderId="12" xfId="2" applyFont="1" applyFill="1" applyBorder="1" applyAlignment="1">
      <alignment horizontal="left" wrapText="1"/>
    </xf>
    <xf numFmtId="169" fontId="7" fillId="0" borderId="12" xfId="1" applyNumberFormat="1" applyFont="1" applyFill="1" applyBorder="1" applyAlignment="1">
      <alignment vertical="center"/>
    </xf>
    <xf numFmtId="169" fontId="19" fillId="0" borderId="12" xfId="3" applyNumberFormat="1" applyFont="1" applyFill="1" applyBorder="1"/>
    <xf numFmtId="0" fontId="7" fillId="0" borderId="1" xfId="2" applyFont="1" applyFill="1" applyBorder="1" applyAlignment="1">
      <alignment horizontal="left" wrapText="1"/>
    </xf>
    <xf numFmtId="169" fontId="7" fillId="0" borderId="1" xfId="1" applyNumberFormat="1" applyFont="1" applyFill="1" applyBorder="1" applyAlignment="1">
      <alignment vertical="center"/>
    </xf>
    <xf numFmtId="0" fontId="19" fillId="0" borderId="1" xfId="2" applyFont="1" applyFill="1" applyBorder="1" applyAlignment="1">
      <alignment horizontal="left" wrapText="1"/>
    </xf>
    <xf numFmtId="11"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vertical="top" wrapText="1"/>
    </xf>
    <xf numFmtId="0" fontId="10" fillId="0" borderId="1" xfId="0" applyFont="1" applyBorder="1" applyAlignment="1">
      <alignment horizontal="center" vertical="center" wrapText="1"/>
    </xf>
    <xf numFmtId="0" fontId="10" fillId="0" borderId="0" xfId="0" applyFont="1"/>
    <xf numFmtId="167" fontId="10" fillId="0" borderId="1" xfId="0" applyNumberFormat="1" applyFont="1" applyFill="1" applyBorder="1" applyAlignment="1">
      <alignment horizontal="right" vertical="center" wrapText="1"/>
    </xf>
    <xf numFmtId="0" fontId="10" fillId="0" borderId="8" xfId="0" applyFont="1" applyBorder="1" applyAlignment="1">
      <alignment horizontal="right"/>
    </xf>
    <xf numFmtId="49" fontId="9" fillId="0" borderId="1" xfId="0" applyNumberFormat="1" applyFont="1" applyBorder="1" applyAlignment="1">
      <alignment horizontal="center" vertical="center"/>
    </xf>
    <xf numFmtId="0" fontId="16" fillId="0" borderId="0" xfId="0" applyFont="1" applyBorder="1" applyAlignment="1">
      <alignment vertical="center" wrapText="1"/>
    </xf>
    <xf numFmtId="172" fontId="5" fillId="0" borderId="1" xfId="0" applyNumberFormat="1" applyFont="1" applyFill="1" applyBorder="1" applyAlignment="1" applyProtection="1">
      <alignment horizontal="left" vertical="center" wrapText="1"/>
    </xf>
    <xf numFmtId="0" fontId="32" fillId="0" borderId="1"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4" fontId="5" fillId="0" borderId="1" xfId="0" applyNumberFormat="1" applyFont="1" applyFill="1" applyBorder="1"/>
    <xf numFmtId="0" fontId="23" fillId="2" borderId="1" xfId="0" applyNumberFormat="1" applyFont="1" applyFill="1" applyBorder="1" applyAlignment="1">
      <alignment horizontal="left" vertical="top" wrapText="1"/>
    </xf>
    <xf numFmtId="49" fontId="23" fillId="2" borderId="1" xfId="0" applyNumberFormat="1" applyFont="1" applyFill="1" applyBorder="1" applyAlignment="1">
      <alignment horizontal="center" vertical="top" wrapText="1"/>
    </xf>
    <xf numFmtId="4" fontId="23" fillId="2" borderId="1" xfId="0" applyNumberFormat="1" applyFont="1" applyFill="1" applyBorder="1" applyAlignment="1">
      <alignment horizontal="right" vertical="top" wrapText="1"/>
    </xf>
    <xf numFmtId="165" fontId="19" fillId="0" borderId="1" xfId="17" applyFont="1" applyFill="1" applyBorder="1"/>
    <xf numFmtId="165" fontId="10" fillId="0" borderId="1" xfId="17" applyFont="1" applyBorder="1"/>
    <xf numFmtId="169" fontId="9" fillId="0" borderId="1" xfId="20" applyNumberFormat="1" applyFont="1" applyBorder="1" applyAlignment="1">
      <alignment horizontal="right" vertical="center"/>
    </xf>
    <xf numFmtId="49" fontId="9" fillId="0" borderId="1" xfId="0" applyNumberFormat="1" applyFont="1" applyBorder="1" applyAlignment="1">
      <alignment horizontal="center" vertical="center"/>
    </xf>
    <xf numFmtId="0" fontId="10" fillId="0" borderId="1" xfId="0" applyFont="1" applyFill="1" applyBorder="1" applyAlignment="1">
      <alignment horizontal="left" vertical="center" wrapText="1"/>
    </xf>
    <xf numFmtId="175" fontId="10" fillId="0" borderId="1" xfId="17" applyNumberFormat="1" applyFont="1" applyBorder="1"/>
    <xf numFmtId="49" fontId="5" fillId="0" borderId="1" xfId="0" applyNumberFormat="1" applyFont="1" applyFill="1" applyBorder="1" applyAlignment="1">
      <alignment horizontal="center" vertical="center" wrapText="1"/>
    </xf>
    <xf numFmtId="0" fontId="16" fillId="0" borderId="0" xfId="0" applyFont="1" applyBorder="1" applyAlignment="1">
      <alignment horizontal="center" vertical="center" wrapText="1"/>
    </xf>
    <xf numFmtId="176" fontId="5" fillId="0" borderId="0" xfId="0" applyNumberFormat="1" applyFont="1"/>
    <xf numFmtId="165" fontId="33" fillId="3" borderId="1" xfId="17" applyFont="1" applyFill="1" applyBorder="1"/>
    <xf numFmtId="165" fontId="19" fillId="0" borderId="2" xfId="17" applyFont="1" applyFill="1" applyBorder="1" applyAlignment="1">
      <alignment horizontal="right"/>
    </xf>
    <xf numFmtId="167" fontId="26" fillId="0" borderId="1" xfId="0" applyNumberFormat="1" applyFont="1" applyBorder="1" applyAlignment="1">
      <alignment horizontal="right"/>
    </xf>
    <xf numFmtId="0" fontId="5" fillId="0" borderId="1" xfId="0" applyNumberFormat="1" applyFont="1" applyFill="1" applyBorder="1" applyAlignment="1">
      <alignment wrapText="1"/>
    </xf>
    <xf numFmtId="0" fontId="14" fillId="0" borderId="0" xfId="0" applyFont="1" applyFill="1" applyAlignment="1">
      <alignment horizontal="center" vertical="top"/>
    </xf>
    <xf numFmtId="0" fontId="14" fillId="0" borderId="0" xfId="0" applyFont="1" applyFill="1" applyAlignment="1">
      <alignment horizontal="center"/>
    </xf>
    <xf numFmtId="49" fontId="13" fillId="0" borderId="0" xfId="0" applyNumberFormat="1" applyFont="1" applyFill="1" applyAlignment="1">
      <alignment horizontal="center" vertical="top"/>
    </xf>
    <xf numFmtId="0" fontId="13" fillId="0" borderId="0" xfId="0" applyNumberFormat="1" applyFont="1" applyFill="1"/>
    <xf numFmtId="49" fontId="13" fillId="0" borderId="0" xfId="0" applyNumberFormat="1" applyFont="1" applyFill="1" applyAlignment="1">
      <alignment horizontal="center"/>
    </xf>
    <xf numFmtId="0" fontId="13" fillId="0" borderId="0" xfId="0" applyFont="1" applyFill="1" applyAlignment="1">
      <alignment horizontal="right"/>
    </xf>
    <xf numFmtId="0" fontId="13"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68" fontId="6" fillId="0" borderId="1" xfId="0" applyNumberFormat="1" applyFont="1" applyFill="1" applyBorder="1" applyAlignment="1">
      <alignment horizontal="center" vertical="center" wrapText="1"/>
    </xf>
    <xf numFmtId="0" fontId="0" fillId="0" borderId="0" xfId="0" applyFill="1"/>
    <xf numFmtId="0" fontId="34" fillId="0" borderId="13" xfId="0" applyNumberFormat="1" applyFont="1" applyFill="1" applyBorder="1" applyAlignment="1">
      <alignment horizontal="center" vertical="top" wrapText="1"/>
    </xf>
    <xf numFmtId="0" fontId="35" fillId="0" borderId="1" xfId="0" quotePrefix="1" applyNumberFormat="1" applyFont="1" applyFill="1" applyBorder="1" applyAlignment="1">
      <alignment horizontal="center" vertical="top" wrapText="1"/>
    </xf>
    <xf numFmtId="165" fontId="5" fillId="0" borderId="1" xfId="17" applyFont="1" applyFill="1" applyBorder="1" applyAlignment="1">
      <alignment horizontal="left"/>
    </xf>
    <xf numFmtId="4" fontId="5" fillId="0" borderId="1" xfId="0" applyNumberFormat="1" applyFont="1" applyFill="1" applyBorder="1" applyAlignment="1">
      <alignment horizontal="left"/>
    </xf>
    <xf numFmtId="49" fontId="10" fillId="0" borderId="1" xfId="0" applyNumberFormat="1" applyFont="1" applyBorder="1" applyAlignment="1">
      <alignment horizontal="center" vertical="center"/>
    </xf>
    <xf numFmtId="0" fontId="10" fillId="0" borderId="1" xfId="0" applyFont="1" applyFill="1" applyBorder="1" applyAlignment="1">
      <alignment horizontal="center" vertical="center"/>
    </xf>
    <xf numFmtId="4" fontId="36" fillId="0" borderId="1" xfId="0" applyNumberFormat="1" applyFont="1" applyBorder="1"/>
    <xf numFmtId="0" fontId="25" fillId="0" borderId="1" xfId="0" applyNumberFormat="1" applyFont="1" applyFill="1" applyBorder="1" applyAlignment="1">
      <alignment horizontal="center" vertical="center" textRotation="90" wrapText="1"/>
    </xf>
    <xf numFmtId="0" fontId="9" fillId="0" borderId="1" xfId="0" applyFont="1" applyBorder="1"/>
    <xf numFmtId="49" fontId="9" fillId="0" borderId="1" xfId="0" applyNumberFormat="1" applyFont="1" applyBorder="1" applyAlignment="1">
      <alignment horizontal="center" vertical="center"/>
    </xf>
    <xf numFmtId="0" fontId="19" fillId="0" borderId="1" xfId="6" applyFont="1" applyFill="1" applyBorder="1" applyAlignment="1">
      <alignment horizontal="left" wrapText="1"/>
    </xf>
    <xf numFmtId="0" fontId="19" fillId="0" borderId="1" xfId="7" applyFont="1" applyFill="1" applyBorder="1" applyAlignment="1">
      <alignment horizontal="left" wrapText="1"/>
    </xf>
    <xf numFmtId="165" fontId="5" fillId="0" borderId="0" xfId="17" applyFont="1" applyFill="1" applyAlignment="1">
      <alignment horizontal="right" vertical="center"/>
    </xf>
    <xf numFmtId="165" fontId="5" fillId="0" borderId="0" xfId="17" applyFont="1" applyFill="1" applyAlignment="1">
      <alignment horizontal="right"/>
    </xf>
    <xf numFmtId="0" fontId="13" fillId="0" borderId="1" xfId="0" applyNumberFormat="1" applyFont="1" applyFill="1" applyBorder="1" applyAlignment="1">
      <alignment vertical="top" wrapText="1"/>
    </xf>
    <xf numFmtId="4" fontId="5" fillId="0" borderId="1" xfId="0" applyNumberFormat="1" applyFont="1" applyFill="1" applyBorder="1" applyAlignment="1"/>
    <xf numFmtId="0" fontId="5" fillId="0" borderId="0" xfId="0" applyFont="1" applyFill="1" applyAlignment="1">
      <alignment horizontal="center"/>
    </xf>
    <xf numFmtId="165" fontId="19" fillId="0" borderId="2" xfId="17" applyFont="1" applyFill="1" applyBorder="1"/>
    <xf numFmtId="0" fontId="10" fillId="0" borderId="6" xfId="0" applyFont="1" applyBorder="1" applyAlignment="1">
      <alignment horizontal="left" vertical="center" wrapText="1"/>
    </xf>
    <xf numFmtId="165" fontId="10" fillId="0" borderId="6" xfId="17" applyFont="1" applyBorder="1"/>
    <xf numFmtId="165" fontId="36" fillId="0" borderId="1" xfId="17" applyFont="1" applyBorder="1"/>
    <xf numFmtId="165" fontId="5" fillId="0" borderId="1" xfId="17" applyFont="1" applyFill="1" applyBorder="1" applyAlignment="1">
      <alignment horizontal="distributed" vertical="top"/>
    </xf>
    <xf numFmtId="0" fontId="10" fillId="0" borderId="1" xfId="0" applyFont="1" applyFill="1" applyBorder="1" applyAlignment="1">
      <alignment vertical="center" wrapText="1"/>
    </xf>
    <xf numFmtId="49" fontId="5" fillId="0" borderId="1" xfId="0" applyNumberFormat="1" applyFont="1" applyFill="1" applyBorder="1"/>
    <xf numFmtId="165" fontId="5" fillId="0" borderId="1" xfId="17" applyFont="1" applyFill="1" applyBorder="1" applyAlignment="1">
      <alignment horizontal="distributed"/>
    </xf>
    <xf numFmtId="49" fontId="28" fillId="0" borderId="1" xfId="23" applyNumberFormat="1" applyFont="1" applyBorder="1" applyAlignment="1" applyProtection="1">
      <alignment horizontal="left" vertical="center" wrapText="1"/>
    </xf>
    <xf numFmtId="4" fontId="28" fillId="0" borderId="1" xfId="23" applyNumberFormat="1" applyFont="1" applyFill="1" applyBorder="1" applyAlignment="1" applyProtection="1">
      <alignment horizontal="right" vertical="center" wrapText="1"/>
    </xf>
    <xf numFmtId="167" fontId="28" fillId="0" borderId="1" xfId="0" applyNumberFormat="1" applyFont="1" applyFill="1" applyBorder="1" applyAlignment="1">
      <alignment horizontal="right" vertical="center" wrapText="1"/>
    </xf>
    <xf numFmtId="0" fontId="39" fillId="0" borderId="1" xfId="0" applyNumberFormat="1" applyFont="1" applyBorder="1" applyAlignment="1"/>
    <xf numFmtId="165" fontId="0" fillId="0" borderId="0" xfId="17" applyFont="1"/>
    <xf numFmtId="0" fontId="0" fillId="0" borderId="1" xfId="0" applyFill="1" applyBorder="1"/>
    <xf numFmtId="165" fontId="0" fillId="0" borderId="1" xfId="17" applyFont="1" applyFill="1" applyBorder="1"/>
    <xf numFmtId="0" fontId="0" fillId="0" borderId="0" xfId="0" applyAlignment="1">
      <alignment horizontal="left"/>
    </xf>
    <xf numFmtId="167" fontId="25" fillId="0" borderId="1" xfId="0" applyNumberFormat="1" applyFont="1" applyFill="1" applyBorder="1" applyAlignment="1">
      <alignment horizontal="right" vertical="top"/>
    </xf>
    <xf numFmtId="0" fontId="16" fillId="0" borderId="0"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3" fontId="8" fillId="0" borderId="1" xfId="0" applyNumberFormat="1" applyFont="1" applyFill="1" applyBorder="1" applyAlignment="1">
      <alignment horizontal="left"/>
    </xf>
    <xf numFmtId="4" fontId="5" fillId="0" borderId="0" xfId="0" applyNumberFormat="1" applyFont="1" applyAlignment="1">
      <alignment horizontal="center" vertical="center"/>
    </xf>
    <xf numFmtId="0" fontId="5" fillId="0" borderId="1" xfId="0" applyFont="1" applyBorder="1" applyAlignment="1">
      <alignment horizontal="center"/>
    </xf>
    <xf numFmtId="0" fontId="0" fillId="0" borderId="0" xfId="0" applyFill="1" applyAlignment="1">
      <alignment horizontal="left"/>
    </xf>
    <xf numFmtId="49" fontId="9" fillId="0" borderId="1" xfId="0" applyNumberFormat="1" applyFont="1" applyBorder="1" applyAlignment="1">
      <alignment horizontal="center" vertical="center"/>
    </xf>
    <xf numFmtId="0" fontId="5" fillId="0" borderId="1" xfId="0" applyFont="1" applyFill="1" applyBorder="1" applyAlignment="1">
      <alignment horizontal="justify" vertical="top" wrapText="1"/>
    </xf>
    <xf numFmtId="165" fontId="19" fillId="0" borderId="1" xfId="17" applyFont="1" applyFill="1" applyBorder="1" applyAlignment="1">
      <alignment horizontal="right"/>
    </xf>
    <xf numFmtId="0" fontId="7" fillId="0" borderId="1" xfId="6" applyFont="1" applyFill="1" applyBorder="1" applyAlignment="1">
      <alignment horizontal="left" wrapText="1"/>
    </xf>
    <xf numFmtId="0" fontId="0" fillId="0" borderId="0" xfId="0" applyFill="1" applyBorder="1"/>
    <xf numFmtId="4" fontId="23" fillId="2" borderId="1" xfId="0" applyNumberFormat="1" applyFont="1" applyFill="1" applyBorder="1" applyAlignment="1">
      <alignment horizontal="right" wrapText="1"/>
    </xf>
    <xf numFmtId="167" fontId="36" fillId="0" borderId="1" xfId="0" applyNumberFormat="1" applyFont="1" applyBorder="1"/>
    <xf numFmtId="167" fontId="10" fillId="0" borderId="1" xfId="17" applyNumberFormat="1" applyFont="1" applyBorder="1"/>
    <xf numFmtId="167" fontId="19" fillId="0" borderId="1" xfId="17" applyNumberFormat="1" applyFont="1" applyFill="1" applyBorder="1"/>
    <xf numFmtId="2" fontId="23" fillId="2" borderId="1" xfId="0" applyNumberFormat="1" applyFont="1" applyFill="1" applyBorder="1" applyAlignment="1">
      <alignment horizontal="left" vertical="top" wrapText="1"/>
    </xf>
    <xf numFmtId="49" fontId="23" fillId="2" borderId="1" xfId="0" applyNumberFormat="1" applyFont="1" applyFill="1" applyBorder="1" applyAlignment="1">
      <alignment horizontal="center" wrapText="1"/>
    </xf>
    <xf numFmtId="0" fontId="23" fillId="2" borderId="1" xfId="0" applyNumberFormat="1" applyFont="1" applyFill="1" applyBorder="1" applyAlignment="1">
      <alignment horizontal="left" vertical="center" wrapText="1"/>
    </xf>
    <xf numFmtId="49" fontId="23" fillId="2" borderId="1" xfId="0" applyNumberFormat="1" applyFont="1" applyFill="1" applyBorder="1" applyAlignment="1">
      <alignment horizontal="center" vertical="center" wrapText="1"/>
    </xf>
    <xf numFmtId="4" fontId="23" fillId="2" borderId="1" xfId="0" applyNumberFormat="1" applyFont="1" applyFill="1" applyBorder="1" applyAlignment="1">
      <alignment horizontal="right" vertical="center" wrapText="1"/>
    </xf>
    <xf numFmtId="0" fontId="5" fillId="0" borderId="1" xfId="0" applyNumberFormat="1" applyFont="1" applyFill="1" applyBorder="1" applyAlignment="1"/>
    <xf numFmtId="11" fontId="5" fillId="0" borderId="1" xfId="0" applyNumberFormat="1" applyFont="1" applyFill="1" applyBorder="1" applyAlignment="1">
      <alignment wrapText="1"/>
    </xf>
    <xf numFmtId="0" fontId="5" fillId="0" borderId="1" xfId="0" applyNumberFormat="1" applyFont="1" applyFill="1" applyBorder="1" applyAlignment="1">
      <alignment horizontal="distributed"/>
    </xf>
    <xf numFmtId="0" fontId="5" fillId="0" borderId="1" xfId="0" applyFont="1" applyFill="1" applyBorder="1" applyAlignment="1">
      <alignment horizontal="distributed" wrapText="1"/>
    </xf>
    <xf numFmtId="0" fontId="23" fillId="0" borderId="1" xfId="0" applyNumberFormat="1" applyFont="1" applyFill="1" applyBorder="1" applyAlignment="1">
      <alignment horizontal="left" vertical="top" wrapText="1"/>
    </xf>
    <xf numFmtId="49" fontId="23" fillId="0" borderId="1" xfId="0" applyNumberFormat="1" applyFont="1" applyFill="1" applyBorder="1" applyAlignment="1">
      <alignment horizontal="center" wrapText="1"/>
    </xf>
    <xf numFmtId="4" fontId="23" fillId="0" borderId="1" xfId="0" applyNumberFormat="1" applyFont="1" applyFill="1" applyBorder="1" applyAlignment="1">
      <alignment horizontal="right" wrapText="1"/>
    </xf>
    <xf numFmtId="49" fontId="9" fillId="0" borderId="1" xfId="0" applyNumberFormat="1" applyFont="1" applyFill="1" applyBorder="1" applyAlignment="1">
      <alignment horizontal="center" vertical="center"/>
    </xf>
    <xf numFmtId="49" fontId="7" fillId="0" borderId="1" xfId="0" applyNumberFormat="1" applyFont="1" applyFill="1" applyBorder="1" applyAlignment="1">
      <alignment horizontal="right" vertical="center" wrapText="1"/>
    </xf>
    <xf numFmtId="0" fontId="10" fillId="0" borderId="1" xfId="0" applyNumberFormat="1" applyFont="1" applyFill="1" applyBorder="1" applyAlignment="1">
      <alignment horizontal="right" vertical="center"/>
    </xf>
    <xf numFmtId="0" fontId="10" fillId="0" borderId="1" xfId="0" applyFont="1" applyFill="1" applyBorder="1" applyAlignment="1">
      <alignment horizontal="right" vertical="center"/>
    </xf>
    <xf numFmtId="49" fontId="10" fillId="0" borderId="1" xfId="24" applyNumberFormat="1" applyFont="1" applyFill="1" applyBorder="1" applyAlignment="1" applyProtection="1">
      <alignment horizontal="right" vertical="center" wrapText="1"/>
    </xf>
    <xf numFmtId="43" fontId="0" fillId="0" borderId="0" xfId="0" applyNumberFormat="1"/>
    <xf numFmtId="165" fontId="0" fillId="0" borderId="0" xfId="17" applyFont="1" applyFill="1"/>
    <xf numFmtId="165" fontId="9" fillId="0" borderId="0" xfId="17" applyFont="1" applyBorder="1" applyAlignment="1">
      <alignment horizontal="center" vertical="center"/>
    </xf>
    <xf numFmtId="165" fontId="10" fillId="0" borderId="0" xfId="17" applyNumberFormat="1" applyFont="1" applyBorder="1" applyAlignment="1">
      <alignment horizontal="left" vertical="center" wrapText="1"/>
    </xf>
    <xf numFmtId="165" fontId="10" fillId="0" borderId="0" xfId="17" applyNumberFormat="1" applyFont="1" applyBorder="1"/>
    <xf numFmtId="165" fontId="10" fillId="0" borderId="0" xfId="17" applyNumberFormat="1" applyFont="1" applyBorder="1" applyAlignment="1">
      <alignment wrapText="1"/>
    </xf>
    <xf numFmtId="0" fontId="7" fillId="0" borderId="1" xfId="0" applyNumberFormat="1" applyFont="1" applyFill="1" applyBorder="1" applyAlignment="1">
      <alignment horizontal="left" vertical="center" wrapText="1"/>
    </xf>
    <xf numFmtId="172" fontId="10" fillId="0" borderId="1" xfId="24" applyNumberFormat="1" applyFont="1" applyFill="1" applyBorder="1" applyAlignment="1" applyProtection="1">
      <alignment horizontal="left" vertical="center" wrapText="1"/>
    </xf>
    <xf numFmtId="49" fontId="9" fillId="0" borderId="1" xfId="0" applyNumberFormat="1" applyFont="1" applyBorder="1" applyAlignment="1">
      <alignment horizontal="center" vertical="center"/>
    </xf>
    <xf numFmtId="49" fontId="10" fillId="0" borderId="1" xfId="23" applyNumberFormat="1" applyFont="1" applyBorder="1" applyAlignment="1" applyProtection="1">
      <alignment horizontal="left" vertical="center" wrapText="1"/>
    </xf>
    <xf numFmtId="4" fontId="10" fillId="0" borderId="1" xfId="23" applyNumberFormat="1" applyFont="1" applyFill="1" applyBorder="1" applyAlignment="1" applyProtection="1">
      <alignment horizontal="right" vertical="center" wrapText="1"/>
    </xf>
    <xf numFmtId="49" fontId="5" fillId="0" borderId="1" xfId="23" applyNumberFormat="1" applyFont="1" applyBorder="1" applyAlignment="1" applyProtection="1">
      <alignment horizontal="left" vertical="center" wrapText="1"/>
    </xf>
    <xf numFmtId="4" fontId="5" fillId="0" borderId="1" xfId="23" applyNumberFormat="1" applyFont="1" applyFill="1" applyBorder="1" applyAlignment="1" applyProtection="1">
      <alignment horizontal="right" vertical="center" wrapText="1"/>
    </xf>
    <xf numFmtId="169" fontId="5" fillId="0" borderId="1" xfId="20" applyNumberFormat="1" applyFont="1" applyBorder="1" applyAlignment="1">
      <alignment horizontal="right" vertical="center"/>
    </xf>
    <xf numFmtId="0" fontId="5" fillId="0" borderId="1" xfId="0" applyFont="1" applyBorder="1" applyAlignment="1">
      <alignment horizontal="left" vertical="center" wrapText="1"/>
    </xf>
    <xf numFmtId="0" fontId="5" fillId="0" borderId="1" xfId="0" applyFont="1" applyBorder="1" applyAlignment="1">
      <alignment horizontal="left"/>
    </xf>
    <xf numFmtId="165" fontId="5" fillId="0" borderId="1" xfId="17" applyFont="1" applyBorder="1" applyAlignment="1"/>
    <xf numFmtId="0" fontId="13" fillId="7" borderId="1" xfId="0" applyNumberFormat="1" applyFont="1" applyFill="1" applyBorder="1" applyAlignment="1">
      <alignment horizontal="left" vertical="center" wrapText="1"/>
    </xf>
    <xf numFmtId="49" fontId="5" fillId="0" borderId="1" xfId="25" applyNumberFormat="1" applyFont="1" applyBorder="1" applyAlignment="1" applyProtection="1">
      <alignment horizontal="center" vertical="center" wrapText="1"/>
    </xf>
    <xf numFmtId="4" fontId="5" fillId="0" borderId="1" xfId="25" applyNumberFormat="1" applyFont="1" applyBorder="1" applyAlignment="1" applyProtection="1">
      <alignment horizontal="right" vertical="center" wrapText="1"/>
    </xf>
    <xf numFmtId="49" fontId="28" fillId="0" borderId="6" xfId="23" applyNumberFormat="1" applyFont="1" applyBorder="1" applyAlignment="1" applyProtection="1">
      <alignment horizontal="left" vertical="center" wrapText="1"/>
    </xf>
    <xf numFmtId="167" fontId="28" fillId="0" borderId="6" xfId="0" applyNumberFormat="1" applyFont="1" applyFill="1" applyBorder="1" applyAlignment="1">
      <alignment horizontal="right" vertical="center" wrapText="1"/>
    </xf>
    <xf numFmtId="49" fontId="8" fillId="0" borderId="1" xfId="0" applyNumberFormat="1" applyFont="1" applyBorder="1" applyAlignment="1">
      <alignment horizontal="center" vertical="center"/>
    </xf>
    <xf numFmtId="169" fontId="8" fillId="0" borderId="1" xfId="20" applyNumberFormat="1" applyFont="1" applyBorder="1" applyAlignment="1">
      <alignment horizontal="right" vertical="center"/>
    </xf>
    <xf numFmtId="167" fontId="5" fillId="0" borderId="1" xfId="0" applyNumberFormat="1" applyFont="1" applyFill="1" applyBorder="1" applyAlignment="1">
      <alignment horizontal="right" vertical="center" wrapText="1"/>
    </xf>
    <xf numFmtId="49" fontId="9" fillId="0" borderId="1" xfId="0" applyNumberFormat="1" applyFont="1" applyBorder="1" applyAlignment="1">
      <alignment horizontal="center" vertical="center"/>
    </xf>
    <xf numFmtId="167" fontId="9" fillId="0" borderId="1" xfId="20" applyNumberFormat="1" applyFont="1" applyBorder="1" applyAlignment="1">
      <alignment horizontal="right" vertical="center"/>
    </xf>
    <xf numFmtId="0" fontId="8" fillId="0" borderId="1" xfId="0" applyFont="1" applyFill="1" applyBorder="1" applyAlignment="1">
      <alignment horizontal="center" vertical="center" wrapText="1"/>
    </xf>
    <xf numFmtId="0" fontId="13" fillId="5" borderId="1" xfId="0" applyFont="1" applyFill="1" applyBorder="1" applyAlignment="1">
      <alignment horizontal="center" vertical="center"/>
    </xf>
    <xf numFmtId="0" fontId="13" fillId="5" borderId="1" xfId="0" applyNumberFormat="1" applyFont="1" applyFill="1" applyBorder="1" applyAlignment="1">
      <alignment horizontal="left" vertical="center" wrapText="1"/>
    </xf>
    <xf numFmtId="0" fontId="21" fillId="0" borderId="1" xfId="0" applyFont="1" applyFill="1" applyBorder="1" applyAlignment="1">
      <alignment horizontal="center" vertical="center" wrapText="1"/>
    </xf>
    <xf numFmtId="0" fontId="61" fillId="0" borderId="1" xfId="0" applyFont="1" applyFill="1" applyBorder="1" applyAlignment="1">
      <alignment horizontal="center" vertical="center"/>
    </xf>
    <xf numFmtId="49" fontId="61" fillId="0" borderId="1" xfId="0" applyNumberFormat="1" applyFont="1" applyFill="1" applyBorder="1" applyAlignment="1">
      <alignment horizontal="center" vertical="center" wrapText="1"/>
    </xf>
    <xf numFmtId="11" fontId="61" fillId="0" borderId="1" xfId="0" applyNumberFormat="1" applyFont="1" applyFill="1" applyBorder="1" applyAlignment="1">
      <alignment horizontal="left" vertical="center" wrapText="1"/>
    </xf>
    <xf numFmtId="0" fontId="61" fillId="0" borderId="0" xfId="0" applyFont="1" applyFill="1"/>
    <xf numFmtId="0" fontId="61" fillId="0" borderId="1" xfId="0" applyFont="1" applyFill="1" applyBorder="1" applyAlignment="1">
      <alignment horizontal="center" vertical="center" wrapText="1"/>
    </xf>
    <xf numFmtId="0" fontId="61" fillId="0" borderId="1" xfId="0" applyFont="1" applyFill="1" applyBorder="1" applyAlignment="1">
      <alignment horizontal="left" vertical="center" wrapText="1"/>
    </xf>
    <xf numFmtId="0" fontId="40" fillId="0" borderId="0" xfId="0" applyFont="1" applyFill="1" applyAlignment="1">
      <alignment horizontal="center"/>
    </xf>
    <xf numFmtId="165" fontId="0" fillId="0" borderId="0" xfId="17" applyFont="1" applyFill="1" applyBorder="1"/>
    <xf numFmtId="0" fontId="0" fillId="0" borderId="0" xfId="0" applyNumberFormat="1" applyFill="1" applyAlignment="1">
      <alignment horizontal="left"/>
    </xf>
    <xf numFmtId="0" fontId="0" fillId="0" borderId="0" xfId="0" applyFill="1" applyAlignment="1"/>
    <xf numFmtId="0" fontId="0" fillId="0" borderId="0" xfId="0" applyFill="1" applyBorder="1" applyAlignment="1">
      <alignment horizontal="left"/>
    </xf>
    <xf numFmtId="49" fontId="5" fillId="0" borderId="0" xfId="17" applyNumberFormat="1" applyFont="1"/>
    <xf numFmtId="49" fontId="5" fillId="0" borderId="5" xfId="0" applyNumberFormat="1" applyFont="1" applyBorder="1" applyAlignment="1">
      <alignment horizontal="center" wrapText="1"/>
    </xf>
    <xf numFmtId="49" fontId="5" fillId="0" borderId="5" xfId="0" applyNumberFormat="1" applyFont="1" applyBorder="1" applyAlignment="1">
      <alignment horizontal="center"/>
    </xf>
    <xf numFmtId="49" fontId="5" fillId="0" borderId="5" xfId="0" applyNumberFormat="1" applyFont="1" applyFill="1" applyBorder="1" applyAlignment="1">
      <alignment horizontal="center"/>
    </xf>
    <xf numFmtId="0" fontId="0" fillId="5" borderId="0" xfId="0" applyFill="1" applyAlignment="1">
      <alignment horizontal="left"/>
    </xf>
    <xf numFmtId="0" fontId="0" fillId="5" borderId="0" xfId="0" applyFill="1"/>
    <xf numFmtId="0" fontId="0" fillId="37" borderId="0" xfId="0" applyFill="1" applyAlignment="1">
      <alignment horizontal="left"/>
    </xf>
    <xf numFmtId="0" fontId="0" fillId="37" borderId="0" xfId="0" applyFill="1"/>
    <xf numFmtId="0" fontId="0" fillId="0" borderId="0" xfId="0" applyBorder="1"/>
    <xf numFmtId="0" fontId="0" fillId="25" borderId="0" xfId="0" applyFill="1" applyAlignment="1">
      <alignment horizontal="left"/>
    </xf>
    <xf numFmtId="0" fontId="0" fillId="25" borderId="0" xfId="0" applyFill="1"/>
    <xf numFmtId="0" fontId="7" fillId="0" borderId="1" xfId="0" applyNumberFormat="1" applyFont="1" applyFill="1" applyBorder="1" applyAlignment="1">
      <alignment horizontal="left" vertical="top" wrapText="1"/>
    </xf>
    <xf numFmtId="0" fontId="10" fillId="0" borderId="1" xfId="0" applyFont="1" applyFill="1" applyBorder="1" applyAlignment="1">
      <alignment wrapText="1"/>
    </xf>
    <xf numFmtId="49" fontId="10" fillId="0" borderId="1" xfId="0" applyNumberFormat="1" applyFont="1" applyFill="1" applyBorder="1" applyAlignment="1" applyProtection="1">
      <alignment horizontal="right" vertical="center" wrapText="1"/>
    </xf>
    <xf numFmtId="165" fontId="10" fillId="0" borderId="1" xfId="17" applyFont="1" applyFill="1" applyBorder="1" applyAlignment="1">
      <alignment vertical="center"/>
    </xf>
    <xf numFmtId="165" fontId="10" fillId="0" borderId="1" xfId="17" applyFont="1" applyFill="1" applyBorder="1" applyAlignment="1" applyProtection="1">
      <alignment vertical="center" wrapText="1"/>
    </xf>
    <xf numFmtId="165" fontId="7" fillId="0" borderId="1" xfId="17" applyFont="1" applyFill="1" applyBorder="1" applyAlignment="1">
      <alignment vertical="center" wrapText="1"/>
    </xf>
    <xf numFmtId="171" fontId="21" fillId="0" borderId="0" xfId="17" applyNumberFormat="1" applyFont="1"/>
    <xf numFmtId="167" fontId="10" fillId="0" borderId="0" xfId="0" applyNumberFormat="1" applyFont="1" applyFill="1" applyBorder="1" applyAlignment="1">
      <alignment horizontal="right" vertical="center" wrapText="1"/>
    </xf>
    <xf numFmtId="169" fontId="0" fillId="0" borderId="0" xfId="0" applyNumberFormat="1"/>
    <xf numFmtId="0" fontId="5" fillId="0" borderId="1" xfId="0" applyNumberFormat="1" applyFont="1" applyBorder="1" applyAlignment="1">
      <alignment wrapText="1"/>
    </xf>
    <xf numFmtId="49" fontId="5" fillId="0" borderId="5" xfId="0" applyNumberFormat="1" applyFont="1" applyFill="1" applyBorder="1" applyAlignment="1"/>
    <xf numFmtId="49" fontId="5" fillId="0" borderId="1" xfId="0" applyNumberFormat="1" applyFont="1" applyFill="1" applyBorder="1" applyAlignment="1">
      <alignment wrapText="1"/>
    </xf>
    <xf numFmtId="49" fontId="5" fillId="0" borderId="1" xfId="0" applyNumberFormat="1" applyFont="1" applyFill="1" applyBorder="1" applyAlignment="1">
      <alignment horizontal="center" wrapText="1"/>
    </xf>
    <xf numFmtId="2" fontId="5" fillId="0" borderId="1" xfId="0" applyNumberFormat="1" applyFont="1" applyBorder="1" applyAlignment="1">
      <alignment wrapText="1"/>
    </xf>
    <xf numFmtId="4" fontId="5" fillId="0" borderId="1" xfId="0" applyNumberFormat="1" applyFont="1" applyBorder="1" applyAlignment="1">
      <alignment horizontal="center"/>
    </xf>
    <xf numFmtId="165" fontId="5" fillId="0" borderId="1" xfId="17" applyFont="1" applyBorder="1" applyAlignment="1">
      <alignment horizontal="center"/>
    </xf>
    <xf numFmtId="0" fontId="5" fillId="0" borderId="1" xfId="0" applyFont="1" applyFill="1" applyBorder="1" applyAlignment="1"/>
    <xf numFmtId="0" fontId="5" fillId="0" borderId="1" xfId="0" applyFont="1" applyFill="1" applyBorder="1" applyAlignment="1">
      <alignment horizontal="center"/>
    </xf>
    <xf numFmtId="0" fontId="5" fillId="0" borderId="0" xfId="0" applyFont="1" applyAlignment="1">
      <alignment horizontal="justify" vertical="top" wrapText="1"/>
    </xf>
    <xf numFmtId="0" fontId="10" fillId="0" borderId="1" xfId="0" applyFont="1" applyBorder="1" applyAlignment="1">
      <alignment horizontal="center"/>
    </xf>
    <xf numFmtId="0" fontId="23" fillId="2" borderId="1" xfId="0" applyFont="1" applyFill="1" applyBorder="1" applyAlignment="1">
      <alignment wrapText="1"/>
    </xf>
    <xf numFmtId="0" fontId="23" fillId="2" borderId="1" xfId="0" applyFont="1" applyFill="1" applyBorder="1" applyAlignment="1">
      <alignment horizontal="center" vertical="top" wrapText="1"/>
    </xf>
    <xf numFmtId="0" fontId="23" fillId="2" borderId="1" xfId="0" applyFont="1" applyFill="1" applyBorder="1" applyAlignment="1">
      <alignment horizontal="center" wrapText="1"/>
    </xf>
    <xf numFmtId="4" fontId="23" fillId="2" borderId="1" xfId="0" applyNumberFormat="1" applyFont="1" applyFill="1" applyBorder="1" applyAlignment="1">
      <alignment horizontal="center" wrapText="1"/>
    </xf>
    <xf numFmtId="0" fontId="5" fillId="0" borderId="1" xfId="0" applyFont="1" applyBorder="1" applyAlignment="1">
      <alignment horizontal="center" wrapText="1"/>
    </xf>
    <xf numFmtId="4" fontId="5" fillId="0" borderId="1" xfId="0" applyNumberFormat="1" applyFont="1" applyBorder="1" applyAlignment="1">
      <alignment horizontal="center" wrapText="1"/>
    </xf>
    <xf numFmtId="167" fontId="10" fillId="0" borderId="1" xfId="20" applyNumberFormat="1" applyFont="1" applyFill="1" applyBorder="1" applyAlignment="1">
      <alignment vertical="center"/>
    </xf>
    <xf numFmtId="165" fontId="10" fillId="0" borderId="1" xfId="17" applyFont="1" applyBorder="1" applyAlignment="1">
      <alignment horizontal="center" vertical="center"/>
    </xf>
    <xf numFmtId="49" fontId="10" fillId="0" borderId="1" xfId="68" applyNumberFormat="1" applyFont="1" applyBorder="1" applyAlignment="1" applyProtection="1">
      <alignment horizontal="left" vertical="center" wrapText="1"/>
    </xf>
    <xf numFmtId="4" fontId="10" fillId="0" borderId="1" xfId="68" applyNumberFormat="1" applyFont="1" applyBorder="1" applyAlignment="1" applyProtection="1">
      <alignment horizontal="right" vertical="center" wrapText="1"/>
    </xf>
    <xf numFmtId="49" fontId="10" fillId="0" borderId="1" xfId="69" applyNumberFormat="1" applyFont="1" applyBorder="1" applyAlignment="1" applyProtection="1">
      <alignment horizontal="left" vertical="center" wrapText="1"/>
    </xf>
    <xf numFmtId="4" fontId="10" fillId="0" borderId="1" xfId="69" applyNumberFormat="1" applyFont="1" applyBorder="1" applyAlignment="1" applyProtection="1">
      <alignment horizontal="right" vertical="center" wrapText="1"/>
    </xf>
    <xf numFmtId="0" fontId="10" fillId="0" borderId="1" xfId="0" applyFont="1" applyFill="1" applyBorder="1"/>
    <xf numFmtId="0" fontId="9" fillId="0" borderId="1" xfId="0" applyFont="1" applyBorder="1" applyAlignment="1">
      <alignment horizontal="left"/>
    </xf>
    <xf numFmtId="167" fontId="9" fillId="0" borderId="1" xfId="0" applyNumberFormat="1" applyFont="1" applyBorder="1" applyAlignment="1">
      <alignment horizontal="right"/>
    </xf>
    <xf numFmtId="0" fontId="33" fillId="0" borderId="2" xfId="6" applyFont="1" applyFill="1" applyBorder="1" applyAlignment="1">
      <alignment horizontal="left" wrapText="1"/>
    </xf>
    <xf numFmtId="0" fontId="5" fillId="0" borderId="2" xfId="2" applyFont="1" applyFill="1" applyBorder="1" applyAlignment="1">
      <alignment horizontal="left" wrapText="1"/>
    </xf>
    <xf numFmtId="167" fontId="5" fillId="0" borderId="1" xfId="0" applyNumberFormat="1" applyFont="1" applyFill="1" applyBorder="1" applyAlignment="1">
      <alignment horizontal="right" wrapText="1"/>
    </xf>
    <xf numFmtId="0" fontId="33" fillId="0" borderId="2" xfId="7" applyFont="1" applyFill="1" applyBorder="1" applyAlignment="1">
      <alignment horizontal="left" wrapText="1"/>
    </xf>
    <xf numFmtId="167" fontId="5" fillId="0" borderId="1" xfId="0" applyNumberFormat="1" applyFont="1" applyBorder="1"/>
    <xf numFmtId="49" fontId="9" fillId="0" borderId="1" xfId="0" applyNumberFormat="1" applyFont="1" applyBorder="1" applyAlignment="1">
      <alignment horizontal="center" vertical="center"/>
    </xf>
    <xf numFmtId="0" fontId="32" fillId="0" borderId="1" xfId="0" applyFont="1" applyFill="1" applyBorder="1" applyAlignment="1">
      <alignment horizontal="left" wrapText="1"/>
    </xf>
    <xf numFmtId="0" fontId="1" fillId="0" borderId="1" xfId="0" applyFont="1" applyFill="1" applyBorder="1"/>
    <xf numFmtId="4" fontId="10" fillId="0" borderId="1" xfId="0" applyNumberFormat="1" applyFont="1" applyFill="1" applyBorder="1" applyAlignment="1">
      <alignment horizontal="right" vertical="center" wrapText="1"/>
    </xf>
    <xf numFmtId="4" fontId="10" fillId="0" borderId="1" xfId="0" applyNumberFormat="1" applyFont="1" applyFill="1" applyBorder="1"/>
    <xf numFmtId="4" fontId="5" fillId="0" borderId="0" xfId="0" applyNumberFormat="1" applyFont="1" applyFill="1" applyAlignment="1">
      <alignment horizontal="center" vertical="center"/>
    </xf>
    <xf numFmtId="165" fontId="0" fillId="5" borderId="0" xfId="17" applyFont="1" applyFill="1"/>
    <xf numFmtId="0" fontId="0" fillId="0" borderId="1" xfId="0" applyFont="1" applyBorder="1" applyAlignment="1">
      <alignment horizontal="center" vertical="top" wrapText="1"/>
    </xf>
    <xf numFmtId="49" fontId="0" fillId="0" borderId="1" xfId="0" applyNumberFormat="1" applyFont="1" applyBorder="1" applyAlignment="1">
      <alignment horizontal="center" vertical="top" wrapText="1"/>
    </xf>
    <xf numFmtId="4" fontId="0" fillId="0" borderId="1" xfId="0" applyNumberFormat="1" applyFont="1" applyBorder="1" applyAlignment="1">
      <alignment horizontal="right" vertical="top" wrapText="1"/>
    </xf>
    <xf numFmtId="49" fontId="10" fillId="0" borderId="1" xfId="0" applyNumberFormat="1" applyFont="1" applyFill="1" applyBorder="1" applyAlignment="1">
      <alignment horizontal="center" vertical="center"/>
    </xf>
    <xf numFmtId="0" fontId="62" fillId="0" borderId="1" xfId="0" applyFont="1" applyFill="1" applyBorder="1" applyAlignment="1">
      <alignment wrapText="1"/>
    </xf>
    <xf numFmtId="49" fontId="7" fillId="0" borderId="1" xfId="0" applyNumberFormat="1" applyFont="1" applyFill="1" applyBorder="1" applyAlignment="1">
      <alignment horizontal="center" vertical="center" wrapText="1"/>
    </xf>
    <xf numFmtId="165" fontId="1" fillId="0" borderId="0" xfId="17" applyFont="1" applyFill="1" applyAlignment="1">
      <alignment horizontal="center"/>
    </xf>
    <xf numFmtId="0" fontId="5" fillId="0" borderId="1" xfId="0" applyNumberFormat="1" applyFont="1" applyBorder="1" applyAlignment="1">
      <alignment horizontal="center" vertical="top"/>
    </xf>
    <xf numFmtId="0" fontId="5" fillId="0" borderId="1" xfId="0" applyNumberFormat="1" applyFont="1" applyFill="1" applyBorder="1" applyAlignment="1">
      <alignment horizontal="center" vertical="top"/>
    </xf>
    <xf numFmtId="0" fontId="5" fillId="0" borderId="1" xfId="0" applyFont="1" applyBorder="1" applyAlignment="1">
      <alignment horizontal="center" vertical="top" wrapText="1"/>
    </xf>
    <xf numFmtId="165" fontId="5" fillId="0" borderId="1" xfId="17" applyFont="1" applyFill="1" applyBorder="1" applyAlignment="1">
      <alignment horizontal="right" vertical="distributed"/>
    </xf>
    <xf numFmtId="0" fontId="5" fillId="0" borderId="1" xfId="0" applyFont="1" applyBorder="1" applyAlignment="1">
      <alignment horizontal="center"/>
    </xf>
    <xf numFmtId="0" fontId="5" fillId="0" borderId="1" xfId="0" applyNumberFormat="1" applyFont="1" applyBorder="1" applyAlignment="1">
      <alignment horizontal="center"/>
    </xf>
    <xf numFmtId="165" fontId="0" fillId="37" borderId="0" xfId="17" applyFont="1" applyFill="1" applyBorder="1"/>
    <xf numFmtId="0" fontId="36" fillId="0" borderId="1" xfId="0" applyFont="1" applyBorder="1" applyAlignment="1">
      <alignment horizontal="center" vertical="center"/>
    </xf>
    <xf numFmtId="0" fontId="7" fillId="2" borderId="1" xfId="0" applyNumberFormat="1" applyFont="1" applyFill="1" applyBorder="1" applyAlignment="1">
      <alignment horizontal="left" vertical="top" wrapText="1"/>
    </xf>
    <xf numFmtId="49" fontId="7" fillId="2"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 fontId="5" fillId="0" borderId="1" xfId="0" applyNumberFormat="1" applyFont="1" applyBorder="1" applyAlignment="1">
      <alignment vertical="top"/>
    </xf>
    <xf numFmtId="0" fontId="5" fillId="0" borderId="1" xfId="0" applyFont="1" applyBorder="1" applyAlignment="1">
      <alignment vertical="top"/>
    </xf>
    <xf numFmtId="4" fontId="23" fillId="2" borderId="7" xfId="0" applyNumberFormat="1" applyFont="1" applyFill="1" applyBorder="1" applyAlignment="1">
      <alignment horizontal="right" vertical="top" wrapText="1"/>
    </xf>
    <xf numFmtId="165" fontId="5" fillId="0" borderId="7" xfId="17" applyFont="1" applyBorder="1" applyAlignment="1">
      <alignment horizontal="right" vertical="distributed" wrapText="1"/>
    </xf>
    <xf numFmtId="165" fontId="5" fillId="0" borderId="7" xfId="17" applyFont="1" applyBorder="1" applyAlignment="1">
      <alignment horizontal="right" vertical="distributed"/>
    </xf>
    <xf numFmtId="0" fontId="5" fillId="0" borderId="0" xfId="0" applyFont="1" applyBorder="1"/>
    <xf numFmtId="49" fontId="9" fillId="0" borderId="1" xfId="0" applyNumberFormat="1" applyFont="1" applyBorder="1" applyAlignment="1">
      <alignment horizontal="center" vertical="center"/>
    </xf>
    <xf numFmtId="49" fontId="9" fillId="0" borderId="7" xfId="0" applyNumberFormat="1" applyFont="1" applyBorder="1" applyAlignment="1">
      <alignment horizontal="center" vertical="center"/>
    </xf>
    <xf numFmtId="4" fontId="5" fillId="0" borderId="1" xfId="0" applyNumberFormat="1" applyFont="1" applyBorder="1" applyAlignment="1">
      <alignment vertical="top" wrapText="1"/>
    </xf>
    <xf numFmtId="4" fontId="10" fillId="0" borderId="1" xfId="0" applyNumberFormat="1" applyFont="1" applyBorder="1" applyAlignment="1">
      <alignment wrapText="1"/>
    </xf>
    <xf numFmtId="0" fontId="13" fillId="0" borderId="0" xfId="0" applyFont="1" applyFill="1" applyBorder="1"/>
    <xf numFmtId="4" fontId="10" fillId="0" borderId="7" xfId="17" applyNumberFormat="1" applyFont="1" applyFill="1" applyBorder="1" applyAlignment="1">
      <alignment horizontal="right"/>
    </xf>
    <xf numFmtId="4" fontId="10" fillId="0" borderId="7" xfId="17" applyNumberFormat="1" applyFont="1" applyBorder="1" applyAlignment="1">
      <alignment horizontal="right"/>
    </xf>
    <xf numFmtId="0" fontId="1" fillId="0" borderId="4" xfId="0" applyFont="1" applyFill="1" applyBorder="1"/>
    <xf numFmtId="0" fontId="1" fillId="0" borderId="23" xfId="0" applyFont="1" applyFill="1" applyBorder="1"/>
    <xf numFmtId="169" fontId="10" fillId="0" borderId="1" xfId="20" applyNumberFormat="1" applyFont="1" applyBorder="1" applyAlignment="1">
      <alignment horizontal="right" vertical="center"/>
    </xf>
    <xf numFmtId="169" fontId="63" fillId="0" borderId="1" xfId="3" applyNumberFormat="1" applyFont="1" applyFill="1" applyBorder="1"/>
    <xf numFmtId="165" fontId="63" fillId="0" borderId="2" xfId="17" applyFont="1" applyFill="1" applyBorder="1"/>
    <xf numFmtId="165" fontId="64" fillId="3" borderId="1" xfId="17" applyFont="1" applyFill="1" applyBorder="1"/>
    <xf numFmtId="167" fontId="8" fillId="0" borderId="1" xfId="0" applyNumberFormat="1" applyFont="1" applyFill="1" applyBorder="1" applyAlignment="1">
      <alignment horizontal="right" vertical="center" wrapText="1"/>
    </xf>
    <xf numFmtId="165" fontId="8" fillId="0" borderId="1" xfId="17" applyFont="1" applyBorder="1" applyAlignment="1">
      <alignment horizontal="right" vertical="center"/>
    </xf>
    <xf numFmtId="165" fontId="63" fillId="0" borderId="1" xfId="17" applyFont="1" applyFill="1" applyBorder="1" applyAlignment="1">
      <alignment horizontal="right"/>
    </xf>
    <xf numFmtId="4" fontId="10" fillId="0" borderId="1" xfId="17" applyNumberFormat="1" applyFont="1" applyFill="1" applyBorder="1" applyAlignment="1">
      <alignment horizontal="center" vertical="center"/>
    </xf>
    <xf numFmtId="4" fontId="10" fillId="0" borderId="1" xfId="17" applyNumberFormat="1" applyFont="1" applyFill="1" applyBorder="1" applyAlignment="1" applyProtection="1">
      <alignment horizontal="center" vertical="center" wrapText="1"/>
    </xf>
    <xf numFmtId="4" fontId="7" fillId="0" borderId="1" xfId="17"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xf>
    <xf numFmtId="2" fontId="0" fillId="0" borderId="1" xfId="0" applyNumberFormat="1" applyBorder="1"/>
    <xf numFmtId="0" fontId="19" fillId="0" borderId="24" xfId="2" applyFont="1" applyFill="1" applyBorder="1" applyAlignment="1">
      <alignment horizontal="left" wrapText="1"/>
    </xf>
    <xf numFmtId="0" fontId="10" fillId="0" borderId="7" xfId="0" applyFont="1" applyBorder="1"/>
    <xf numFmtId="2" fontId="10" fillId="0" borderId="1" xfId="0" applyNumberFormat="1" applyFont="1" applyBorder="1"/>
    <xf numFmtId="0" fontId="16" fillId="0" borderId="0" xfId="0" applyFont="1" applyBorder="1" applyAlignment="1">
      <alignment horizontal="center" vertical="center" wrapText="1"/>
    </xf>
    <xf numFmtId="49" fontId="5" fillId="0" borderId="1" xfId="0" applyNumberFormat="1" applyFont="1" applyBorder="1" applyAlignment="1">
      <alignment horizontal="center" vertical="top"/>
    </xf>
    <xf numFmtId="49" fontId="5" fillId="0" borderId="1" xfId="0" applyNumberFormat="1" applyFont="1" applyFill="1" applyBorder="1" applyAlignment="1">
      <alignment horizontal="center" vertical="top"/>
    </xf>
    <xf numFmtId="0" fontId="12" fillId="0" borderId="0" xfId="0" applyFont="1" applyBorder="1" applyAlignment="1">
      <alignment horizontal="center" wrapText="1"/>
    </xf>
    <xf numFmtId="0" fontId="5" fillId="0" borderId="0" xfId="0" applyFont="1" applyAlignment="1">
      <alignment horizontal="right" wrapText="1"/>
    </xf>
    <xf numFmtId="0" fontId="13" fillId="0" borderId="0" xfId="0" applyFont="1" applyAlignment="1">
      <alignment horizontal="right" vertical="center" wrapText="1"/>
    </xf>
    <xf numFmtId="49" fontId="14" fillId="0" borderId="7" xfId="0" applyNumberFormat="1" applyFont="1" applyFill="1" applyBorder="1" applyAlignment="1">
      <alignment horizontal="left" vertical="center" wrapText="1"/>
    </xf>
    <xf numFmtId="49" fontId="14" fillId="0" borderId="9" xfId="0" applyNumberFormat="1" applyFont="1" applyFill="1" applyBorder="1" applyAlignment="1">
      <alignment horizontal="left" vertical="center" wrapText="1"/>
    </xf>
    <xf numFmtId="49" fontId="14" fillId="0" borderId="5" xfId="0" applyNumberFormat="1"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2" fillId="0" borderId="8" xfId="0" applyFont="1" applyBorder="1" applyAlignment="1">
      <alignment horizontal="center" vertical="center" wrapText="1"/>
    </xf>
    <xf numFmtId="0" fontId="8" fillId="0" borderId="1" xfId="0" applyFont="1" applyFill="1" applyBorder="1" applyAlignment="1">
      <alignment horizontal="left" vertical="center" wrapText="1"/>
    </xf>
    <xf numFmtId="0" fontId="14" fillId="0" borderId="7" xfId="0" applyFont="1" applyFill="1" applyBorder="1" applyAlignment="1">
      <alignment horizontal="left" vertical="center"/>
    </xf>
    <xf numFmtId="0" fontId="14" fillId="0" borderId="9" xfId="0" applyFont="1" applyFill="1" applyBorder="1" applyAlignment="1">
      <alignment horizontal="left" vertical="center"/>
    </xf>
    <xf numFmtId="0" fontId="14" fillId="0" borderId="5" xfId="0" applyFont="1" applyFill="1" applyBorder="1" applyAlignment="1">
      <alignment horizontal="left" vertical="center"/>
    </xf>
    <xf numFmtId="168" fontId="12" fillId="0" borderId="0" xfId="0" applyNumberFormat="1" applyFont="1" applyFill="1" applyAlignment="1">
      <alignment horizontal="center" wrapText="1"/>
    </xf>
    <xf numFmtId="0" fontId="25" fillId="0" borderId="0" xfId="0" applyNumberFormat="1" applyFont="1" applyFill="1" applyAlignment="1">
      <alignment wrapText="1"/>
    </xf>
    <xf numFmtId="0" fontId="16" fillId="0" borderId="0" xfId="0" applyFont="1" applyBorder="1" applyAlignment="1">
      <alignment horizontal="center" wrapText="1"/>
    </xf>
    <xf numFmtId="0" fontId="5" fillId="0" borderId="0" xfId="0" applyFont="1" applyFill="1" applyAlignment="1">
      <alignment horizontal="right" wrapText="1"/>
    </xf>
    <xf numFmtId="0" fontId="25" fillId="0" borderId="7" xfId="0" applyFont="1" applyBorder="1" applyAlignment="1">
      <alignment horizontal="center" vertical="top"/>
    </xf>
    <xf numFmtId="0" fontId="25" fillId="0" borderId="5" xfId="0" applyFont="1" applyBorder="1" applyAlignment="1">
      <alignment horizontal="center" vertical="top"/>
    </xf>
    <xf numFmtId="0" fontId="25" fillId="0" borderId="7" xfId="0" applyFont="1" applyBorder="1" applyAlignment="1">
      <alignment horizontal="center" vertical="top" wrapText="1"/>
    </xf>
    <xf numFmtId="0" fontId="25" fillId="0" borderId="5" xfId="0" applyFont="1" applyBorder="1" applyAlignment="1">
      <alignment horizontal="center" vertical="top" wrapText="1"/>
    </xf>
    <xf numFmtId="4" fontId="5" fillId="0" borderId="1" xfId="0" applyNumberFormat="1" applyFont="1" applyBorder="1" applyAlignment="1">
      <alignment horizontal="center" vertical="center" wrapText="1"/>
    </xf>
    <xf numFmtId="0" fontId="12" fillId="0" borderId="0" xfId="0" applyFont="1" applyFill="1" applyBorder="1" applyAlignment="1">
      <alignment horizontal="center" wrapText="1"/>
    </xf>
    <xf numFmtId="0" fontId="2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37" fillId="0" borderId="1" xfId="0" applyNumberFormat="1" applyFont="1" applyFill="1" applyBorder="1" applyAlignment="1">
      <alignment horizontal="center" vertical="center"/>
    </xf>
    <xf numFmtId="165" fontId="5" fillId="0" borderId="1" xfId="17" applyFont="1" applyFill="1" applyBorder="1" applyAlignment="1">
      <alignment horizontal="center" vertical="center" wrapText="1"/>
    </xf>
    <xf numFmtId="0" fontId="12" fillId="0" borderId="0" xfId="0" applyFont="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165" fontId="5" fillId="0" borderId="4" xfId="17" applyFont="1" applyFill="1" applyBorder="1" applyAlignment="1">
      <alignment horizontal="center" vertical="center" wrapText="1"/>
    </xf>
    <xf numFmtId="165" fontId="5" fillId="0" borderId="6" xfId="17"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7" xfId="0" applyFont="1" applyBorder="1" applyAlignment="1">
      <alignment horizontal="center"/>
    </xf>
    <xf numFmtId="0" fontId="5" fillId="0" borderId="5" xfId="0" applyFont="1" applyBorder="1" applyAlignment="1">
      <alignment horizontal="center"/>
    </xf>
    <xf numFmtId="0" fontId="5" fillId="0" borderId="1" xfId="0" applyFont="1" applyBorder="1" applyAlignment="1">
      <alignment horizontal="center"/>
    </xf>
    <xf numFmtId="0" fontId="5" fillId="0" borderId="9" xfId="0" applyFont="1" applyBorder="1" applyAlignment="1">
      <alignment horizontal="center"/>
    </xf>
    <xf numFmtId="49" fontId="10" fillId="0" borderId="4"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49" fontId="9" fillId="0" borderId="1"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5" fillId="0" borderId="8" xfId="0" applyNumberFormat="1" applyFont="1" applyBorder="1" applyAlignment="1">
      <alignment horizontal="right" vertical="center"/>
    </xf>
    <xf numFmtId="49" fontId="5" fillId="0" borderId="7"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0" fontId="12" fillId="0" borderId="0" xfId="0" applyNumberFormat="1" applyFont="1" applyBorder="1" applyAlignment="1">
      <alignment horizontal="center" vertical="center" wrapText="1"/>
    </xf>
    <xf numFmtId="0" fontId="16" fillId="0" borderId="0" xfId="0" applyNumberFormat="1" applyFont="1" applyBorder="1" applyAlignment="1">
      <alignment horizontal="center" vertical="center" wrapText="1"/>
    </xf>
    <xf numFmtId="172" fontId="12" fillId="0" borderId="0" xfId="0" applyNumberFormat="1" applyFont="1" applyFill="1" applyBorder="1" applyAlignment="1" applyProtection="1">
      <alignment horizontal="center" vertical="center" wrapText="1"/>
    </xf>
    <xf numFmtId="0" fontId="12" fillId="0" borderId="0" xfId="0" applyFont="1" applyAlignment="1">
      <alignment horizontal="center" wrapText="1"/>
    </xf>
    <xf numFmtId="0" fontId="16" fillId="0" borderId="0" xfId="0" applyFont="1" applyBorder="1" applyAlignment="1">
      <alignment horizontal="center" vertical="center" wrapText="1"/>
    </xf>
    <xf numFmtId="0" fontId="38" fillId="0" borderId="1" xfId="0" applyNumberFormat="1" applyFont="1" applyFill="1" applyBorder="1" applyAlignment="1">
      <alignment horizontal="left" vertical="top" wrapText="1"/>
    </xf>
    <xf numFmtId="0" fontId="38" fillId="0" borderId="1" xfId="0" quotePrefix="1" applyNumberFormat="1" applyFont="1" applyFill="1" applyBorder="1" applyAlignment="1">
      <alignment horizontal="left" vertical="top" wrapText="1"/>
    </xf>
    <xf numFmtId="0" fontId="12" fillId="0" borderId="0" xfId="0" applyFont="1" applyFill="1" applyAlignment="1">
      <alignment horizontal="center" vertical="top" wrapText="1"/>
    </xf>
    <xf numFmtId="49" fontId="5" fillId="0" borderId="8" xfId="0" applyNumberFormat="1" applyFont="1" applyFill="1" applyBorder="1" applyAlignment="1">
      <alignment horizontal="right" vertical="center"/>
    </xf>
    <xf numFmtId="0" fontId="9" fillId="0" borderId="1" xfId="0" applyFont="1" applyBorder="1" applyAlignment="1">
      <alignment horizontal="center" wrapText="1"/>
    </xf>
    <xf numFmtId="0" fontId="10" fillId="0" borderId="1" xfId="0" applyFont="1" applyBorder="1" applyAlignment="1">
      <alignment horizontal="center" vertical="center" wrapText="1"/>
    </xf>
    <xf numFmtId="0" fontId="12" fillId="0" borderId="0" xfId="0" applyFont="1" applyAlignment="1">
      <alignment horizontal="center" vertical="center" wrapText="1"/>
    </xf>
    <xf numFmtId="0" fontId="10" fillId="0" borderId="1" xfId="0" applyFont="1" applyBorder="1" applyAlignment="1">
      <alignment horizontal="center"/>
    </xf>
    <xf numFmtId="0" fontId="5" fillId="0" borderId="0" xfId="0" applyFont="1" applyBorder="1" applyAlignment="1">
      <alignment horizontal="right" wrapText="1"/>
    </xf>
    <xf numFmtId="49" fontId="5" fillId="0" borderId="0" xfId="0" applyNumberFormat="1" applyFont="1" applyFill="1" applyBorder="1" applyAlignment="1">
      <alignment horizontal="right" vertical="center"/>
    </xf>
  </cellXfs>
  <cellStyles count="70">
    <cellStyle name="20% — акцент1" xfId="27"/>
    <cellStyle name="20% — акцент2" xfId="28"/>
    <cellStyle name="20% — акцент3" xfId="29"/>
    <cellStyle name="20% — акцент4" xfId="30"/>
    <cellStyle name="20% — акцент5" xfId="31"/>
    <cellStyle name="20% — акцент6" xfId="32"/>
    <cellStyle name="40% — акцент1" xfId="33"/>
    <cellStyle name="40% — акцент2" xfId="34"/>
    <cellStyle name="40% — акцент3" xfId="35"/>
    <cellStyle name="40% — акцент4" xfId="36"/>
    <cellStyle name="40% — акцент5" xfId="37"/>
    <cellStyle name="40% — акцент6" xfId="38"/>
    <cellStyle name="60% — акцент1" xfId="39"/>
    <cellStyle name="60% — акцент2" xfId="40"/>
    <cellStyle name="60% — акцент3" xfId="41"/>
    <cellStyle name="60% — акцент4" xfId="42"/>
    <cellStyle name="60% — акцент5" xfId="43"/>
    <cellStyle name="60% — акцент6" xfId="44"/>
    <cellStyle name="Акцент1 2" xfId="45"/>
    <cellStyle name="Акцент2 2" xfId="46"/>
    <cellStyle name="Акцент3 2" xfId="47"/>
    <cellStyle name="Акцент4 2" xfId="48"/>
    <cellStyle name="Акцент5 2" xfId="49"/>
    <cellStyle name="Акцент6 2" xfId="50"/>
    <cellStyle name="Ввод  2" xfId="51"/>
    <cellStyle name="Вывод 2" xfId="52"/>
    <cellStyle name="Вычисление 2" xfId="53"/>
    <cellStyle name="Заголовок 1 2" xfId="54"/>
    <cellStyle name="Заголовок 2 2" xfId="55"/>
    <cellStyle name="Заголовок 3 2" xfId="56"/>
    <cellStyle name="Заголовок 4 2" xfId="57"/>
    <cellStyle name="Итог 2" xfId="58"/>
    <cellStyle name="Контрольная ячейка 2" xfId="59"/>
    <cellStyle name="Название 2" xfId="60"/>
    <cellStyle name="Нейтральный 2" xfId="61"/>
    <cellStyle name="Обычный" xfId="0" builtinId="0"/>
    <cellStyle name="Обычный 10" xfId="1"/>
    <cellStyle name="Обычный 11" xfId="2"/>
    <cellStyle name="Обычный 12" xfId="3"/>
    <cellStyle name="Обычный 2" xfId="4"/>
    <cellStyle name="Обычный 22" xfId="5"/>
    <cellStyle name="Обычный 23" xfId="6"/>
    <cellStyle name="Обычный 29" xfId="7"/>
    <cellStyle name="Обычный 3" xfId="26"/>
    <cellStyle name="Обычный 30" xfId="8"/>
    <cellStyle name="Обычный 4" xfId="21"/>
    <cellStyle name="Обычный 43" xfId="9"/>
    <cellStyle name="Обычный 44" xfId="10"/>
    <cellStyle name="Обычный 45" xfId="11"/>
    <cellStyle name="Обычный 46" xfId="12"/>
    <cellStyle name="Обычный 47" xfId="13"/>
    <cellStyle name="Обычный 48" xfId="14"/>
    <cellStyle name="Обычный_Лист1" xfId="22"/>
    <cellStyle name="Обычный_переч субс" xfId="25"/>
    <cellStyle name="Обычный_раздатка" xfId="68"/>
    <cellStyle name="Обычный_раздатка_1" xfId="69"/>
    <cellStyle name="Обычный_софин_1" xfId="24"/>
    <cellStyle name="Обычный_Шпаргалка" xfId="23"/>
    <cellStyle name="Плохой 2" xfId="62"/>
    <cellStyle name="Пояснение 2" xfId="63"/>
    <cellStyle name="Примечание 2" xfId="64"/>
    <cellStyle name="Связанная ячейка 2" xfId="65"/>
    <cellStyle name="Текст предупреждения 2" xfId="66"/>
    <cellStyle name="Тысячи [0]_Лист1" xfId="15"/>
    <cellStyle name="Тысячи_Лист1" xfId="16"/>
    <cellStyle name="Финансовый" xfId="17" builtinId="3"/>
    <cellStyle name="Финансовый 2" xfId="18"/>
    <cellStyle name="Финансовый 3" xfId="19"/>
    <cellStyle name="Финансовый 3 2" xfId="20"/>
    <cellStyle name="Хороший 2" xfId="6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6;&#1083;&#1100;&#1079;&#1086;&#1074;&#1072;&#1090;&#1077;&#1083;&#1080;/01_&#1041;&#1102;&#1076;&#1078;&#1077;&#1090;&#1085;&#1099;&#1081;%20&#1086;&#1090;&#1076;&#1077;&#1083;/&#1052;&#1086;&#1080;%20&#1076;&#1086;&#1082;&#1091;&#1084;&#1077;&#1085;&#1090;&#1099;/&#1073;&#1102;&#1076;&#1078;&#1077;&#1090;%202021/&#1056;&#1077;&#1096;&#1077;&#1085;&#1080;&#1103;/04%20&#1072;&#1087;&#1088;&#1077;&#1083;&#1100;/&#1087;&#1088;&#1080;&#1083;&#1086;&#1078;&#1077;&#1085;&#1080;&#1103;%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Userrfu\Desktop\&#1055;&#1088;&#1080;&#1083;&#1086;&#1078;&#1077;&#1085;&#1080;&#1103;%202022-2024%20&#1084;&#1086;&#107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Деф"/>
      <sheetName val="АдмДох"/>
      <sheetName val="АдмИст"/>
      <sheetName val="Норм"/>
      <sheetName val="Дох "/>
      <sheetName val="Вед21"/>
      <sheetName val="вед 22-23"/>
      <sheetName val="Фун21"/>
      <sheetName val="Фун 22-23"/>
      <sheetName val="ЦСР 21"/>
      <sheetName val="ЦСР 22-23"/>
      <sheetName val="публ"/>
      <sheetName val="пов зп 06"/>
      <sheetName val="благ"/>
      <sheetName val="налог п"/>
      <sheetName val="уч УДС"/>
      <sheetName val="благ м"/>
      <sheetName val="Полн"/>
      <sheetName val="ФФП"/>
      <sheetName val="адм к"/>
      <sheetName val="ВУС"/>
      <sheetName val="пожарка"/>
      <sheetName val="дороги к"/>
      <sheetName val="ак"/>
      <sheetName val="дороги с"/>
      <sheetName val="БДД"/>
      <sheetName val="Молод"/>
      <sheetName val="сбал"/>
      <sheetName val="переч субс"/>
      <sheetName val="софин"/>
      <sheetName val="Заим"/>
      <sheetName val="гор ср"/>
      <sheetName val="пов зп 10"/>
      <sheetName val="рег вып"/>
      <sheetName val="спр"/>
      <sheetName val="Лист1"/>
      <sheetName val="Лист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4">
          <cell r="B4" t="str">
            <v>6/1-25</v>
          </cell>
        </row>
        <row r="38">
          <cell r="C38">
            <v>0</v>
          </cell>
        </row>
      </sheetData>
      <sheetData sheetId="35"/>
      <sheetData sheetId="3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Деф"/>
      <sheetName val="АдмДох"/>
      <sheetName val="АдмИст"/>
      <sheetName val="Норм"/>
      <sheetName val="Дох "/>
      <sheetName val="Вед22"/>
      <sheetName val="вед 23-24"/>
      <sheetName val="Фун22"/>
      <sheetName val="Фун 23-24"/>
      <sheetName val="ЦСР 22"/>
      <sheetName val="ЦСР 23-24"/>
      <sheetName val="публ"/>
      <sheetName val="Полн"/>
      <sheetName val="сбал"/>
      <sheetName val="софин"/>
      <sheetName val="дороги к"/>
      <sheetName val="горср 10"/>
      <sheetName val="рег вып"/>
      <sheetName val="гор ср"/>
      <sheetName val="налог п"/>
      <sheetName val="уч УДС"/>
      <sheetName val="благ"/>
      <sheetName val="благ м"/>
      <sheetName val="ФФП"/>
      <sheetName val="адм к"/>
      <sheetName val="ВУС"/>
      <sheetName val="переселен"/>
      <sheetName val="пожарка"/>
      <sheetName val="ак"/>
      <sheetName val="дороги с"/>
      <sheetName val="БДД"/>
      <sheetName val="Молод"/>
      <sheetName val="дороги50"/>
      <sheetName val="переч субс"/>
      <sheetName val="Заим"/>
      <sheetName val="пов зп 10"/>
      <sheetName val="спр"/>
      <sheetName val="Лист1"/>
      <sheetName val="Лист2"/>
    </sheetNames>
    <sheetDataSet>
      <sheetData sheetId="0"/>
      <sheetData sheetId="1"/>
      <sheetData sheetId="2"/>
      <sheetData sheetId="3"/>
      <sheetData sheetId="4"/>
      <sheetData sheetId="5">
        <row r="8">
          <cell r="G8" t="str">
            <v/>
          </cell>
        </row>
        <row r="9">
          <cell r="G9" t="str">
            <v>0100</v>
          </cell>
        </row>
        <row r="10">
          <cell r="G10" t="str">
            <v>0103</v>
          </cell>
        </row>
        <row r="11">
          <cell r="G11" t="str">
            <v>01038000000000</v>
          </cell>
        </row>
        <row r="12">
          <cell r="G12" t="str">
            <v>01038020000000</v>
          </cell>
        </row>
        <row r="13">
          <cell r="G13" t="str">
            <v>01038020060000</v>
          </cell>
        </row>
        <row r="14">
          <cell r="G14" t="str">
            <v>01038020060000100</v>
          </cell>
        </row>
        <row r="15">
          <cell r="G15" t="str">
            <v>01038020060000120</v>
          </cell>
        </row>
        <row r="16">
          <cell r="G16" t="str">
            <v>01038020060000121</v>
          </cell>
        </row>
        <row r="17">
          <cell r="G17" t="str">
            <v>01038020060000122</v>
          </cell>
        </row>
        <row r="18">
          <cell r="G18" t="str">
            <v>01038020060000129</v>
          </cell>
        </row>
        <row r="19">
          <cell r="G19" t="str">
            <v>01038020060000200</v>
          </cell>
        </row>
        <row r="20">
          <cell r="G20" t="str">
            <v>01038020060000240</v>
          </cell>
        </row>
        <row r="21">
          <cell r="G21" t="str">
            <v>01038020060000244</v>
          </cell>
        </row>
        <row r="22">
          <cell r="G22" t="str">
            <v>01038020067000</v>
          </cell>
        </row>
        <row r="23">
          <cell r="G23" t="str">
            <v>01038020067000100</v>
          </cell>
        </row>
        <row r="24">
          <cell r="G24" t="str">
            <v>01038020067000120</v>
          </cell>
        </row>
        <row r="25">
          <cell r="G25" t="str">
            <v>01038020067000122</v>
          </cell>
        </row>
        <row r="26">
          <cell r="G26" t="str">
            <v>01038030000000</v>
          </cell>
        </row>
        <row r="27">
          <cell r="G27" t="str">
            <v>01038030060000</v>
          </cell>
        </row>
        <row r="28">
          <cell r="G28" t="str">
            <v>01038030060000100</v>
          </cell>
        </row>
        <row r="29">
          <cell r="G29" t="str">
            <v>01038030060000120</v>
          </cell>
        </row>
        <row r="30">
          <cell r="G30" t="str">
            <v>01038030060000121</v>
          </cell>
        </row>
        <row r="31">
          <cell r="G31" t="str">
            <v>01038030060000122</v>
          </cell>
        </row>
        <row r="32">
          <cell r="G32" t="str">
            <v>01038030060000123</v>
          </cell>
        </row>
        <row r="33">
          <cell r="G33" t="str">
            <v>01038030060000129</v>
          </cell>
        </row>
        <row r="34">
          <cell r="G34" t="str">
            <v>01038030067000</v>
          </cell>
        </row>
        <row r="35">
          <cell r="G35" t="str">
            <v>01038030067000100</v>
          </cell>
        </row>
        <row r="36">
          <cell r="G36" t="str">
            <v>01038030067000120</v>
          </cell>
        </row>
        <row r="37">
          <cell r="G37" t="str">
            <v>01038030067000122</v>
          </cell>
        </row>
        <row r="38">
          <cell r="G38" t="str">
            <v/>
          </cell>
        </row>
        <row r="39">
          <cell r="G39" t="str">
            <v>0100</v>
          </cell>
        </row>
        <row r="40">
          <cell r="G40" t="str">
            <v>0106</v>
          </cell>
        </row>
        <row r="41">
          <cell r="G41" t="str">
            <v>01068000000000</v>
          </cell>
        </row>
        <row r="42">
          <cell r="G42" t="str">
            <v>01068020000000</v>
          </cell>
        </row>
        <row r="43">
          <cell r="G43" t="str">
            <v>01068020060000</v>
          </cell>
        </row>
        <row r="44">
          <cell r="G44" t="str">
            <v>01068020060000100</v>
          </cell>
        </row>
        <row r="45">
          <cell r="G45" t="str">
            <v>01068020060000120</v>
          </cell>
        </row>
        <row r="46">
          <cell r="G46" t="str">
            <v>01068020060000121</v>
          </cell>
        </row>
        <row r="47">
          <cell r="G47" t="str">
            <v>01068020060000122</v>
          </cell>
        </row>
        <row r="48">
          <cell r="G48" t="str">
            <v>01068020060000129</v>
          </cell>
        </row>
        <row r="49">
          <cell r="G49" t="str">
            <v>01068020060000200</v>
          </cell>
        </row>
        <row r="50">
          <cell r="G50" t="str">
            <v>01068020060000240</v>
          </cell>
        </row>
        <row r="51">
          <cell r="G51" t="str">
            <v>01068020060000244</v>
          </cell>
        </row>
        <row r="52">
          <cell r="G52" t="str">
            <v>01068020067000</v>
          </cell>
        </row>
        <row r="53">
          <cell r="G53" t="str">
            <v>01068020067000100</v>
          </cell>
        </row>
        <row r="54">
          <cell r="G54" t="str">
            <v>01068020067000120</v>
          </cell>
        </row>
        <row r="55">
          <cell r="G55" t="str">
            <v>01068020067000122</v>
          </cell>
        </row>
        <row r="56">
          <cell r="G56" t="str">
            <v>01068040000000</v>
          </cell>
        </row>
        <row r="57">
          <cell r="G57" t="str">
            <v>01068040060000</v>
          </cell>
        </row>
        <row r="58">
          <cell r="G58" t="str">
            <v>01068040060000100</v>
          </cell>
        </row>
        <row r="59">
          <cell r="G59" t="str">
            <v>01068040060000120</v>
          </cell>
        </row>
        <row r="60">
          <cell r="G60" t="str">
            <v>01068040060000121</v>
          </cell>
        </row>
        <row r="61">
          <cell r="G61" t="str">
            <v>01068040060000122</v>
          </cell>
        </row>
        <row r="62">
          <cell r="G62" t="str">
            <v>01068040067000</v>
          </cell>
        </row>
        <row r="63">
          <cell r="G63" t="str">
            <v>01068040067000100</v>
          </cell>
        </row>
        <row r="64">
          <cell r="G64" t="str">
            <v>01068040067000120</v>
          </cell>
        </row>
        <row r="65">
          <cell r="G65" t="str">
            <v>01068040067000129</v>
          </cell>
        </row>
        <row r="66">
          <cell r="G66" t="str">
            <v/>
          </cell>
        </row>
        <row r="67">
          <cell r="G67" t="str">
            <v>0100</v>
          </cell>
        </row>
        <row r="68">
          <cell r="G68" t="str">
            <v>0102</v>
          </cell>
        </row>
        <row r="69">
          <cell r="G69" t="str">
            <v>01028000000000</v>
          </cell>
        </row>
        <row r="70">
          <cell r="G70" t="str">
            <v>01028010000000</v>
          </cell>
        </row>
        <row r="71">
          <cell r="G71" t="str">
            <v>01028010060000</v>
          </cell>
        </row>
        <row r="72">
          <cell r="G72" t="str">
            <v>01028010060000100</v>
          </cell>
        </row>
        <row r="73">
          <cell r="G73" t="str">
            <v>01028010060000120</v>
          </cell>
        </row>
        <row r="74">
          <cell r="G74" t="str">
            <v>01028010060000121</v>
          </cell>
        </row>
        <row r="75">
          <cell r="G75" t="str">
            <v>01028010060000122</v>
          </cell>
        </row>
        <row r="76">
          <cell r="G76" t="str">
            <v>01028010060000129</v>
          </cell>
        </row>
        <row r="77">
          <cell r="G77" t="str">
            <v>01028010067000</v>
          </cell>
        </row>
        <row r="78">
          <cell r="G78" t="str">
            <v>01028010067000100</v>
          </cell>
        </row>
        <row r="79">
          <cell r="G79" t="str">
            <v>01028010067000120</v>
          </cell>
        </row>
        <row r="80">
          <cell r="G80" t="str">
            <v>01028010067000122</v>
          </cell>
        </row>
        <row r="81">
          <cell r="G81" t="str">
            <v>0104</v>
          </cell>
        </row>
        <row r="82">
          <cell r="G82" t="str">
            <v>01040400000000</v>
          </cell>
        </row>
        <row r="83">
          <cell r="G83" t="str">
            <v>01040420000000</v>
          </cell>
        </row>
        <row r="84">
          <cell r="G84" t="str">
            <v>01040420080040</v>
          </cell>
        </row>
        <row r="85">
          <cell r="G85" t="str">
            <v>01040420080040200</v>
          </cell>
        </row>
        <row r="86">
          <cell r="G86" t="str">
            <v>01040420080040240</v>
          </cell>
        </row>
        <row r="87">
          <cell r="G87" t="str">
            <v>01040420080040244</v>
          </cell>
        </row>
        <row r="88">
          <cell r="G88" t="str">
            <v>01048000000000</v>
          </cell>
        </row>
        <row r="89">
          <cell r="G89" t="str">
            <v>01048020000000</v>
          </cell>
        </row>
        <row r="90">
          <cell r="G90" t="str">
            <v>01048020060000</v>
          </cell>
        </row>
        <row r="91">
          <cell r="G91" t="str">
            <v>01048020060000100</v>
          </cell>
        </row>
        <row r="92">
          <cell r="G92" t="str">
            <v>01048020060000120</v>
          </cell>
        </row>
        <row r="93">
          <cell r="G93" t="str">
            <v>01048020060000121</v>
          </cell>
        </row>
        <row r="94">
          <cell r="G94" t="str">
            <v>01048020060000122</v>
          </cell>
        </row>
        <row r="95">
          <cell r="G95" t="str">
            <v>01048020060000129</v>
          </cell>
        </row>
        <row r="96">
          <cell r="G96" t="str">
            <v>01048020060000200</v>
          </cell>
        </row>
        <row r="97">
          <cell r="G97" t="str">
            <v>01048020060000240</v>
          </cell>
        </row>
        <row r="98">
          <cell r="G98" t="str">
            <v>01048020060000244</v>
          </cell>
        </row>
        <row r="99">
          <cell r="G99" t="str">
            <v>01048020060000800</v>
          </cell>
        </row>
        <row r="100">
          <cell r="G100" t="str">
            <v>01048020060000850</v>
          </cell>
        </row>
        <row r="101">
          <cell r="G101" t="str">
            <v>01048020060000853</v>
          </cell>
        </row>
        <row r="102">
          <cell r="G102" t="str">
            <v>01048020061000</v>
          </cell>
        </row>
        <row r="103">
          <cell r="G103" t="str">
            <v>01048020061000100</v>
          </cell>
        </row>
        <row r="104">
          <cell r="G104" t="str">
            <v>01048020061000120</v>
          </cell>
        </row>
        <row r="105">
          <cell r="G105" t="str">
            <v>01048020061000121</v>
          </cell>
        </row>
        <row r="106">
          <cell r="G106" t="str">
            <v>01048020061000129</v>
          </cell>
        </row>
        <row r="107">
          <cell r="G107" t="str">
            <v>01048020067000</v>
          </cell>
        </row>
        <row r="108">
          <cell r="G108" t="str">
            <v>01048020067000100</v>
          </cell>
        </row>
        <row r="109">
          <cell r="G109" t="str">
            <v>01048020067000120</v>
          </cell>
        </row>
        <row r="110">
          <cell r="G110" t="str">
            <v>01048020067000122</v>
          </cell>
        </row>
        <row r="111">
          <cell r="G111" t="str">
            <v>0104802006Б000</v>
          </cell>
        </row>
        <row r="112">
          <cell r="G112" t="str">
            <v>0104802006Б000100</v>
          </cell>
        </row>
        <row r="113">
          <cell r="G113" t="str">
            <v>0104802006Б000120</v>
          </cell>
        </row>
        <row r="114">
          <cell r="G114" t="str">
            <v>0104802006Б000121</v>
          </cell>
        </row>
        <row r="115">
          <cell r="G115" t="str">
            <v>0104802006Б000129</v>
          </cell>
        </row>
        <row r="116">
          <cell r="G116" t="str">
            <v>0104802006Г000</v>
          </cell>
        </row>
        <row r="117">
          <cell r="G117" t="str">
            <v>0104802006Г000200</v>
          </cell>
        </row>
        <row r="118">
          <cell r="G118" t="str">
            <v>0104802006Г000240</v>
          </cell>
        </row>
        <row r="119">
          <cell r="G119" t="str">
            <v>0104802006Г000244</v>
          </cell>
        </row>
        <row r="120">
          <cell r="G120" t="str">
            <v>0104802006Г000247</v>
          </cell>
        </row>
        <row r="121">
          <cell r="G121" t="str">
            <v>0104802006М000</v>
          </cell>
        </row>
        <row r="122">
          <cell r="G122" t="str">
            <v>0104802006М000200</v>
          </cell>
        </row>
        <row r="123">
          <cell r="G123" t="str">
            <v>0104802006М000240</v>
          </cell>
        </row>
        <row r="124">
          <cell r="G124" t="str">
            <v>0104802006М000244</v>
          </cell>
        </row>
        <row r="125">
          <cell r="G125" t="str">
            <v>0104802006Э000</v>
          </cell>
        </row>
        <row r="126">
          <cell r="G126" t="str">
            <v>0104802006Э000200</v>
          </cell>
        </row>
        <row r="127">
          <cell r="G127" t="str">
            <v>0104802006Э000240</v>
          </cell>
        </row>
        <row r="128">
          <cell r="G128" t="str">
            <v>0104802006Э000247</v>
          </cell>
        </row>
        <row r="129">
          <cell r="G129" t="str">
            <v>01048020074670</v>
          </cell>
        </row>
        <row r="130">
          <cell r="G130" t="str">
            <v>01048020074670100</v>
          </cell>
        </row>
        <row r="131">
          <cell r="G131" t="str">
            <v>01048020074670120</v>
          </cell>
        </row>
        <row r="132">
          <cell r="G132" t="str">
            <v>01048020074670121</v>
          </cell>
        </row>
        <row r="133">
          <cell r="G133" t="str">
            <v>01048020074670122</v>
          </cell>
        </row>
        <row r="134">
          <cell r="G134" t="str">
            <v>01048020074670129</v>
          </cell>
        </row>
        <row r="135">
          <cell r="G135" t="str">
            <v>01048020074670200</v>
          </cell>
        </row>
        <row r="136">
          <cell r="G136" t="str">
            <v>01048020074670240</v>
          </cell>
        </row>
        <row r="137">
          <cell r="G137" t="str">
            <v>01048020074670244</v>
          </cell>
        </row>
        <row r="138">
          <cell r="G138" t="str">
            <v>01048020076040</v>
          </cell>
        </row>
        <row r="139">
          <cell r="G139" t="str">
            <v>01048020076040100</v>
          </cell>
        </row>
        <row r="140">
          <cell r="G140" t="str">
            <v>01048020076040120</v>
          </cell>
        </row>
        <row r="141">
          <cell r="G141" t="str">
            <v>01048020076040121</v>
          </cell>
        </row>
        <row r="142">
          <cell r="G142" t="str">
            <v>01048020076040122</v>
          </cell>
        </row>
        <row r="143">
          <cell r="G143" t="str">
            <v>01048020076040129</v>
          </cell>
        </row>
        <row r="144">
          <cell r="G144" t="str">
            <v>01048020076040200</v>
          </cell>
        </row>
        <row r="145">
          <cell r="G145" t="str">
            <v>01048020076040240</v>
          </cell>
        </row>
        <row r="146">
          <cell r="G146" t="str">
            <v>01048020076040244</v>
          </cell>
        </row>
        <row r="147">
          <cell r="G147" t="str">
            <v>010480200Ч0010</v>
          </cell>
        </row>
        <row r="148">
          <cell r="G148" t="str">
            <v>010480200Ч0010100</v>
          </cell>
        </row>
        <row r="149">
          <cell r="G149" t="str">
            <v>010480200Ч0010120</v>
          </cell>
        </row>
        <row r="150">
          <cell r="G150" t="str">
            <v>010480200Ч0010121</v>
          </cell>
        </row>
        <row r="151">
          <cell r="G151" t="str">
            <v>010480200Ч0010129</v>
          </cell>
        </row>
        <row r="152">
          <cell r="G152" t="str">
            <v>0105</v>
          </cell>
        </row>
        <row r="153">
          <cell r="G153" t="str">
            <v>01059000000000</v>
          </cell>
        </row>
        <row r="154">
          <cell r="G154" t="str">
            <v>01059040000000</v>
          </cell>
        </row>
        <row r="155">
          <cell r="G155" t="str">
            <v>01059040051200</v>
          </cell>
        </row>
        <row r="156">
          <cell r="G156" t="str">
            <v>01059040051200200</v>
          </cell>
        </row>
        <row r="157">
          <cell r="G157" t="str">
            <v>01059040051200240</v>
          </cell>
        </row>
        <row r="158">
          <cell r="G158" t="str">
            <v>01059040051200244</v>
          </cell>
        </row>
        <row r="159">
          <cell r="G159" t="str">
            <v>0113</v>
          </cell>
        </row>
        <row r="160">
          <cell r="G160" t="str">
            <v>01130400000000</v>
          </cell>
        </row>
        <row r="161">
          <cell r="G161" t="str">
            <v>01130430000000</v>
          </cell>
        </row>
        <row r="162">
          <cell r="G162" t="str">
            <v>01130430080000</v>
          </cell>
        </row>
        <row r="163">
          <cell r="G163" t="str">
            <v>01130430080000200</v>
          </cell>
        </row>
        <row r="164">
          <cell r="G164" t="str">
            <v>01130430080000240</v>
          </cell>
        </row>
        <row r="165">
          <cell r="G165" t="str">
            <v>01130430080000244</v>
          </cell>
        </row>
        <row r="166">
          <cell r="G166" t="str">
            <v>0113043008Ф000</v>
          </cell>
        </row>
        <row r="167">
          <cell r="G167" t="str">
            <v>0113043008Ф000200</v>
          </cell>
        </row>
        <row r="168">
          <cell r="G168" t="str">
            <v>0113043008Ф000240</v>
          </cell>
        </row>
        <row r="169">
          <cell r="G169" t="str">
            <v>0113043008Ф000244</v>
          </cell>
        </row>
        <row r="170">
          <cell r="G170" t="str">
            <v>01138000000000</v>
          </cell>
        </row>
        <row r="171">
          <cell r="G171" t="str">
            <v>01138020000000</v>
          </cell>
        </row>
        <row r="172">
          <cell r="G172" t="str">
            <v>01138020074290</v>
          </cell>
        </row>
        <row r="173">
          <cell r="G173" t="str">
            <v>01138020074290100</v>
          </cell>
        </row>
        <row r="174">
          <cell r="G174" t="str">
            <v>01138020074290120</v>
          </cell>
        </row>
        <row r="175">
          <cell r="G175" t="str">
            <v>01138020074290121</v>
          </cell>
        </row>
        <row r="176">
          <cell r="G176" t="str">
            <v>01138020074290129</v>
          </cell>
        </row>
        <row r="177">
          <cell r="G177" t="str">
            <v>01138020074290200</v>
          </cell>
        </row>
        <row r="178">
          <cell r="G178" t="str">
            <v>01138020074290240</v>
          </cell>
        </row>
        <row r="179">
          <cell r="G179" t="str">
            <v>01138020074290244</v>
          </cell>
        </row>
        <row r="180">
          <cell r="G180" t="str">
            <v>01138020075190</v>
          </cell>
        </row>
        <row r="181">
          <cell r="G181" t="str">
            <v>01138020075190100</v>
          </cell>
        </row>
        <row r="182">
          <cell r="G182" t="str">
            <v>01138020075190120</v>
          </cell>
        </row>
        <row r="183">
          <cell r="G183" t="str">
            <v>01138020075190121</v>
          </cell>
        </row>
        <row r="184">
          <cell r="G184" t="str">
            <v>01138020075190129</v>
          </cell>
        </row>
        <row r="185">
          <cell r="G185" t="str">
            <v>01138020075190200</v>
          </cell>
        </row>
        <row r="186">
          <cell r="G186" t="str">
            <v>01138020075190240</v>
          </cell>
        </row>
        <row r="187">
          <cell r="G187" t="str">
            <v>01138020075190244</v>
          </cell>
        </row>
        <row r="188">
          <cell r="G188" t="str">
            <v>01138020078460</v>
          </cell>
        </row>
        <row r="189">
          <cell r="G189" t="str">
            <v>01138020078460100</v>
          </cell>
        </row>
        <row r="190">
          <cell r="G190" t="str">
            <v>01138020078460120</v>
          </cell>
        </row>
        <row r="191">
          <cell r="G191" t="str">
            <v>01138020078460121</v>
          </cell>
        </row>
        <row r="192">
          <cell r="G192" t="str">
            <v>01138020078460129</v>
          </cell>
        </row>
        <row r="193">
          <cell r="G193" t="str">
            <v>01138020078460200</v>
          </cell>
        </row>
        <row r="194">
          <cell r="G194" t="str">
            <v>01138020078460240</v>
          </cell>
        </row>
        <row r="195">
          <cell r="G195" t="str">
            <v>01138020078460244</v>
          </cell>
        </row>
        <row r="196">
          <cell r="G196" t="str">
            <v>01139000000000</v>
          </cell>
        </row>
        <row r="197">
          <cell r="G197" t="str">
            <v>01139060000000</v>
          </cell>
        </row>
        <row r="198">
          <cell r="G198" t="str">
            <v>01139060080000</v>
          </cell>
        </row>
        <row r="199">
          <cell r="G199" t="str">
            <v>01139060080000300</v>
          </cell>
        </row>
        <row r="200">
          <cell r="G200" t="str">
            <v>01139060080000330</v>
          </cell>
        </row>
        <row r="201">
          <cell r="G201" t="str">
            <v>0300</v>
          </cell>
        </row>
        <row r="202">
          <cell r="G202" t="str">
            <v>0310</v>
          </cell>
        </row>
        <row r="203">
          <cell r="G203" t="str">
            <v>03100400000000</v>
          </cell>
        </row>
        <row r="204">
          <cell r="G204" t="str">
            <v>03100410000000</v>
          </cell>
        </row>
        <row r="205">
          <cell r="G205" t="str">
            <v>03100410040010</v>
          </cell>
        </row>
        <row r="206">
          <cell r="G206" t="str">
            <v>03100410040010100</v>
          </cell>
        </row>
        <row r="207">
          <cell r="G207" t="str">
            <v>03100410040010110</v>
          </cell>
        </row>
        <row r="208">
          <cell r="G208" t="str">
            <v>03100410040010111</v>
          </cell>
        </row>
        <row r="209">
          <cell r="G209" t="str">
            <v>03100410040010119</v>
          </cell>
        </row>
        <row r="210">
          <cell r="G210" t="str">
            <v>03100410040010200</v>
          </cell>
        </row>
        <row r="211">
          <cell r="G211" t="str">
            <v>03100410040010240</v>
          </cell>
        </row>
        <row r="212">
          <cell r="G212" t="str">
            <v>03100410040010244</v>
          </cell>
        </row>
        <row r="213">
          <cell r="G213" t="str">
            <v>0310041004Ф010</v>
          </cell>
        </row>
        <row r="214">
          <cell r="G214" t="str">
            <v>0310041004Ф010200</v>
          </cell>
        </row>
        <row r="215">
          <cell r="G215" t="str">
            <v>0310041004Ф010240</v>
          </cell>
        </row>
        <row r="216">
          <cell r="G216" t="str">
            <v>0310041004Ф010244</v>
          </cell>
        </row>
        <row r="217">
          <cell r="G217" t="str">
            <v>03100410080000</v>
          </cell>
        </row>
        <row r="218">
          <cell r="G218" t="str">
            <v>03100410080000200</v>
          </cell>
        </row>
        <row r="219">
          <cell r="G219" t="str">
            <v>03100410080000240</v>
          </cell>
        </row>
        <row r="220">
          <cell r="G220" t="str">
            <v>03100410080000244</v>
          </cell>
        </row>
        <row r="221">
          <cell r="G221" t="str">
            <v>03100410080090</v>
          </cell>
        </row>
        <row r="222">
          <cell r="G222" t="str">
            <v>03100410080090200</v>
          </cell>
        </row>
        <row r="223">
          <cell r="G223" t="str">
            <v>03100410080090240</v>
          </cell>
        </row>
        <row r="224">
          <cell r="G224" t="str">
            <v>03100410080090244</v>
          </cell>
        </row>
        <row r="225">
          <cell r="G225" t="str">
            <v>031004100S4130</v>
          </cell>
        </row>
        <row r="226">
          <cell r="G226" t="str">
            <v>031004100S4130200</v>
          </cell>
        </row>
        <row r="227">
          <cell r="G227" t="str">
            <v>031004100S4130240</v>
          </cell>
        </row>
        <row r="228">
          <cell r="G228" t="str">
            <v>031004100S4130244</v>
          </cell>
        </row>
        <row r="229">
          <cell r="G229" t="str">
            <v>03100420000000</v>
          </cell>
        </row>
        <row r="230">
          <cell r="G230" t="str">
            <v>03100420080020</v>
          </cell>
        </row>
        <row r="231">
          <cell r="G231" t="str">
            <v>03100420080020200</v>
          </cell>
        </row>
        <row r="232">
          <cell r="G232" t="str">
            <v>03100420080020240</v>
          </cell>
        </row>
        <row r="233">
          <cell r="G233" t="str">
            <v>03100420080020244</v>
          </cell>
        </row>
        <row r="234">
          <cell r="G234" t="str">
            <v>03100420080030</v>
          </cell>
        </row>
        <row r="235">
          <cell r="G235" t="str">
            <v>03100420080030200</v>
          </cell>
        </row>
        <row r="236">
          <cell r="G236" t="str">
            <v>03100420080030240</v>
          </cell>
        </row>
        <row r="237">
          <cell r="G237" t="str">
            <v>03100420080030244</v>
          </cell>
        </row>
        <row r="238">
          <cell r="G238" t="str">
            <v>031004200S4121</v>
          </cell>
        </row>
        <row r="239">
          <cell r="G239" t="str">
            <v>031004200S4121200</v>
          </cell>
        </row>
        <row r="240">
          <cell r="G240" t="str">
            <v>031004200S4121240</v>
          </cell>
        </row>
        <row r="241">
          <cell r="G241" t="str">
            <v>031004200S4121244</v>
          </cell>
        </row>
        <row r="242">
          <cell r="G242" t="str">
            <v>0314</v>
          </cell>
        </row>
        <row r="243">
          <cell r="G243" t="str">
            <v>03140400000000</v>
          </cell>
        </row>
        <row r="244">
          <cell r="G244" t="str">
            <v>03140410000000</v>
          </cell>
        </row>
        <row r="245">
          <cell r="G245" t="str">
            <v>03140410080000</v>
          </cell>
        </row>
        <row r="246">
          <cell r="G246" t="str">
            <v>03140410080000200</v>
          </cell>
        </row>
        <row r="247">
          <cell r="G247" t="str">
            <v>03140410080000240</v>
          </cell>
        </row>
        <row r="248">
          <cell r="G248" t="str">
            <v>03140410080000244</v>
          </cell>
        </row>
        <row r="249">
          <cell r="G249" t="str">
            <v>0400</v>
          </cell>
        </row>
        <row r="250">
          <cell r="G250" t="str">
            <v>0405</v>
          </cell>
        </row>
        <row r="251">
          <cell r="G251" t="str">
            <v>04051200000000</v>
          </cell>
        </row>
        <row r="252">
          <cell r="G252" t="str">
            <v>04051210000000</v>
          </cell>
        </row>
        <row r="253">
          <cell r="G253" t="str">
            <v>04051210080000</v>
          </cell>
        </row>
        <row r="254">
          <cell r="G254" t="str">
            <v>04051210080000200</v>
          </cell>
        </row>
        <row r="255">
          <cell r="G255" t="str">
            <v>04051210080000240</v>
          </cell>
        </row>
        <row r="256">
          <cell r="G256" t="str">
            <v>04051210080000244</v>
          </cell>
        </row>
        <row r="257">
          <cell r="G257" t="str">
            <v>04051230000000</v>
          </cell>
        </row>
        <row r="258">
          <cell r="G258" t="str">
            <v>04051230075170</v>
          </cell>
        </row>
        <row r="259">
          <cell r="G259" t="str">
            <v>04051230075170100</v>
          </cell>
        </row>
        <row r="260">
          <cell r="G260" t="str">
            <v>04051230075170120</v>
          </cell>
        </row>
        <row r="261">
          <cell r="G261" t="str">
            <v>04051230075170121</v>
          </cell>
        </row>
        <row r="262">
          <cell r="G262" t="str">
            <v>04051230075170122</v>
          </cell>
        </row>
        <row r="263">
          <cell r="G263" t="str">
            <v>04051230075170129</v>
          </cell>
        </row>
        <row r="264">
          <cell r="G264" t="str">
            <v>04051230075170200</v>
          </cell>
        </row>
        <row r="265">
          <cell r="G265" t="str">
            <v>04051230075170240</v>
          </cell>
        </row>
        <row r="266">
          <cell r="G266" t="str">
            <v>04051230075170244</v>
          </cell>
        </row>
        <row r="267">
          <cell r="G267" t="str">
            <v>0407</v>
          </cell>
        </row>
        <row r="268">
          <cell r="G268" t="str">
            <v>04078000000000</v>
          </cell>
        </row>
        <row r="269">
          <cell r="G269" t="str">
            <v>04078020000000</v>
          </cell>
        </row>
        <row r="270">
          <cell r="G270" t="str">
            <v>04078020074460</v>
          </cell>
        </row>
        <row r="271">
          <cell r="G271" t="str">
            <v>04078020074460100</v>
          </cell>
        </row>
        <row r="272">
          <cell r="G272" t="str">
            <v>04078020074460120</v>
          </cell>
        </row>
        <row r="273">
          <cell r="G273" t="str">
            <v>04078020074460121</v>
          </cell>
        </row>
        <row r="274">
          <cell r="G274" t="str">
            <v>04078020074460122</v>
          </cell>
        </row>
        <row r="275">
          <cell r="G275" t="str">
            <v>04078020074460129</v>
          </cell>
        </row>
        <row r="276">
          <cell r="G276" t="str">
            <v>04078020074460200</v>
          </cell>
        </row>
        <row r="277">
          <cell r="G277" t="str">
            <v>04078020074460240</v>
          </cell>
        </row>
        <row r="278">
          <cell r="G278" t="str">
            <v>04078020074460244</v>
          </cell>
        </row>
        <row r="279">
          <cell r="G279" t="str">
            <v>0408</v>
          </cell>
        </row>
        <row r="280">
          <cell r="G280" t="str">
            <v>04080900000000</v>
          </cell>
        </row>
        <row r="281">
          <cell r="G281" t="str">
            <v>04080920000000</v>
          </cell>
        </row>
        <row r="282">
          <cell r="G282" t="str">
            <v>040809200В0000</v>
          </cell>
        </row>
        <row r="283">
          <cell r="G283" t="str">
            <v>040809200В0000800</v>
          </cell>
        </row>
        <row r="284">
          <cell r="G284" t="str">
            <v>040809200В0000810</v>
          </cell>
        </row>
        <row r="285">
          <cell r="G285" t="str">
            <v>040809200В0000811</v>
          </cell>
        </row>
        <row r="286">
          <cell r="G286" t="str">
            <v>040809200Л0000</v>
          </cell>
        </row>
        <row r="287">
          <cell r="G287" t="str">
            <v>040809200Л0000800</v>
          </cell>
        </row>
        <row r="288">
          <cell r="G288" t="str">
            <v>040809200Л0000810</v>
          </cell>
        </row>
        <row r="289">
          <cell r="G289" t="str">
            <v>040809200Л0000811</v>
          </cell>
        </row>
        <row r="290">
          <cell r="G290" t="str">
            <v>040809200П0000</v>
          </cell>
        </row>
        <row r="291">
          <cell r="G291" t="str">
            <v>040809200П0000800</v>
          </cell>
        </row>
        <row r="292">
          <cell r="G292" t="str">
            <v>040809200П0000810</v>
          </cell>
        </row>
        <row r="293">
          <cell r="G293" t="str">
            <v>040809200П0000811</v>
          </cell>
        </row>
        <row r="294">
          <cell r="G294" t="str">
            <v>0409</v>
          </cell>
        </row>
        <row r="295">
          <cell r="G295" t="str">
            <v>04090900000000</v>
          </cell>
        </row>
        <row r="296">
          <cell r="G296" t="str">
            <v>04090910000000</v>
          </cell>
        </row>
        <row r="297">
          <cell r="G297" t="str">
            <v>04090910080000</v>
          </cell>
        </row>
        <row r="298">
          <cell r="G298" t="str">
            <v>04090910080000200</v>
          </cell>
        </row>
        <row r="299">
          <cell r="G299" t="str">
            <v>04090910080000240</v>
          </cell>
        </row>
        <row r="300">
          <cell r="G300" t="str">
            <v>04090910080000244</v>
          </cell>
        </row>
        <row r="301">
          <cell r="G301" t="str">
            <v>040909100S5090</v>
          </cell>
        </row>
        <row r="302">
          <cell r="G302" t="str">
            <v>040909100S5090200</v>
          </cell>
        </row>
        <row r="303">
          <cell r="G303" t="str">
            <v>040909100S5090240</v>
          </cell>
        </row>
        <row r="304">
          <cell r="G304" t="str">
            <v>040909100S5090244</v>
          </cell>
        </row>
        <row r="305">
          <cell r="G305" t="str">
            <v>04090930000000</v>
          </cell>
        </row>
        <row r="306">
          <cell r="G306" t="str">
            <v>0409093R310601</v>
          </cell>
        </row>
        <row r="307">
          <cell r="G307" t="str">
            <v>0409093R310601200</v>
          </cell>
        </row>
        <row r="308">
          <cell r="G308" t="str">
            <v>0409093R310601240</v>
          </cell>
        </row>
        <row r="309">
          <cell r="G309" t="str">
            <v>0409093R310601244</v>
          </cell>
        </row>
        <row r="310">
          <cell r="G310" t="str">
            <v>0412</v>
          </cell>
        </row>
        <row r="311">
          <cell r="G311" t="str">
            <v>04120800000000</v>
          </cell>
        </row>
        <row r="312">
          <cell r="G312" t="str">
            <v>04120810000000</v>
          </cell>
        </row>
        <row r="313">
          <cell r="G313" t="str">
            <v>04120810080020</v>
          </cell>
        </row>
        <row r="314">
          <cell r="G314" t="str">
            <v>04120810080020200</v>
          </cell>
        </row>
        <row r="315">
          <cell r="G315" t="str">
            <v>04120810080020240</v>
          </cell>
        </row>
        <row r="316">
          <cell r="G316" t="str">
            <v>04120810080020244</v>
          </cell>
        </row>
        <row r="317">
          <cell r="G317" t="str">
            <v>041208100S6070</v>
          </cell>
        </row>
        <row r="318">
          <cell r="G318" t="str">
            <v>041208100S6070800</v>
          </cell>
        </row>
        <row r="319">
          <cell r="G319" t="str">
            <v>041208100S6070810</v>
          </cell>
        </row>
        <row r="320">
          <cell r="G320" t="str">
            <v>041208100S6070813</v>
          </cell>
        </row>
        <row r="321">
          <cell r="G321" t="str">
            <v>04120820000000</v>
          </cell>
        </row>
        <row r="322">
          <cell r="G322" t="str">
            <v>04120820080030</v>
          </cell>
        </row>
        <row r="323">
          <cell r="G323" t="str">
            <v>04120820080030200</v>
          </cell>
        </row>
        <row r="324">
          <cell r="G324" t="str">
            <v>04120820080030240</v>
          </cell>
        </row>
        <row r="325">
          <cell r="G325" t="str">
            <v>04120820080030244</v>
          </cell>
        </row>
        <row r="326">
          <cell r="G326" t="str">
            <v>04121200000000</v>
          </cell>
        </row>
        <row r="327">
          <cell r="G327" t="str">
            <v>04121220000000</v>
          </cell>
        </row>
        <row r="328">
          <cell r="G328" t="str">
            <v>04121220080010</v>
          </cell>
        </row>
        <row r="329">
          <cell r="G329" t="str">
            <v>04121220080010200</v>
          </cell>
        </row>
        <row r="330">
          <cell r="G330" t="str">
            <v>04121220080010240</v>
          </cell>
        </row>
        <row r="331">
          <cell r="G331" t="str">
            <v>04121220080010244</v>
          </cell>
        </row>
        <row r="332">
          <cell r="G332" t="str">
            <v>0500</v>
          </cell>
        </row>
        <row r="333">
          <cell r="G333" t="str">
            <v>0502</v>
          </cell>
        </row>
        <row r="334">
          <cell r="G334" t="str">
            <v>05020300000000</v>
          </cell>
        </row>
        <row r="335">
          <cell r="G335" t="str">
            <v>05020320000000</v>
          </cell>
        </row>
        <row r="336">
          <cell r="G336" t="str">
            <v>05020320075700</v>
          </cell>
        </row>
        <row r="337">
          <cell r="G337" t="str">
            <v>05020320075700800</v>
          </cell>
        </row>
        <row r="338">
          <cell r="G338" t="str">
            <v>05020320075700810</v>
          </cell>
        </row>
        <row r="339">
          <cell r="G339" t="str">
            <v>05020320075700811</v>
          </cell>
        </row>
        <row r="340">
          <cell r="G340" t="str">
            <v>05020320075770</v>
          </cell>
        </row>
        <row r="341">
          <cell r="G341" t="str">
            <v>05020320075770800</v>
          </cell>
        </row>
        <row r="342">
          <cell r="G342" t="str">
            <v>05020320075770810</v>
          </cell>
        </row>
        <row r="343">
          <cell r="G343" t="str">
            <v>05020320075770811</v>
          </cell>
        </row>
        <row r="344">
          <cell r="G344" t="str">
            <v>05029000000000</v>
          </cell>
        </row>
        <row r="345">
          <cell r="G345" t="str">
            <v>05029090000000</v>
          </cell>
        </row>
        <row r="346">
          <cell r="G346" t="str">
            <v>050290900Ш0000</v>
          </cell>
        </row>
        <row r="347">
          <cell r="G347" t="str">
            <v>050290900Ш0000200</v>
          </cell>
        </row>
        <row r="348">
          <cell r="G348" t="str">
            <v>050290900Ш0000240</v>
          </cell>
        </row>
        <row r="349">
          <cell r="G349" t="str">
            <v>050290900Ш0000244</v>
          </cell>
        </row>
        <row r="350">
          <cell r="G350" t="str">
            <v>0503</v>
          </cell>
        </row>
        <row r="351">
          <cell r="G351" t="str">
            <v>05030200000000</v>
          </cell>
        </row>
        <row r="352">
          <cell r="G352" t="str">
            <v>05030210000000</v>
          </cell>
        </row>
        <row r="353">
          <cell r="G353" t="str">
            <v>05030210080020</v>
          </cell>
        </row>
        <row r="354">
          <cell r="G354" t="str">
            <v>05030210080020200</v>
          </cell>
        </row>
        <row r="355">
          <cell r="G355" t="str">
            <v>05030210080020240</v>
          </cell>
        </row>
        <row r="356">
          <cell r="G356" t="str">
            <v>05030210080020244</v>
          </cell>
        </row>
        <row r="357">
          <cell r="G357" t="str">
            <v>0600</v>
          </cell>
        </row>
        <row r="358">
          <cell r="G358" t="str">
            <v>0603</v>
          </cell>
        </row>
        <row r="359">
          <cell r="G359" t="str">
            <v>06030200000000</v>
          </cell>
        </row>
        <row r="360">
          <cell r="G360" t="str">
            <v>06030220000000</v>
          </cell>
        </row>
        <row r="361">
          <cell r="G361" t="str">
            <v>06030220075180</v>
          </cell>
        </row>
        <row r="362">
          <cell r="G362" t="str">
            <v>06030220075180100</v>
          </cell>
        </row>
        <row r="363">
          <cell r="G363" t="str">
            <v>06030220075180120</v>
          </cell>
        </row>
        <row r="364">
          <cell r="G364" t="str">
            <v>06030220075180121</v>
          </cell>
        </row>
        <row r="365">
          <cell r="G365" t="str">
            <v>06030220075180129</v>
          </cell>
        </row>
        <row r="366">
          <cell r="G366" t="str">
            <v>06030220075180200</v>
          </cell>
        </row>
        <row r="367">
          <cell r="G367" t="str">
            <v>06030220075180240</v>
          </cell>
        </row>
        <row r="368">
          <cell r="G368" t="str">
            <v>06030220075180244</v>
          </cell>
        </row>
        <row r="369">
          <cell r="G369" t="str">
            <v>0605</v>
          </cell>
        </row>
        <row r="370">
          <cell r="G370" t="str">
            <v>06050200000000</v>
          </cell>
        </row>
        <row r="371">
          <cell r="G371" t="str">
            <v>06050210000000</v>
          </cell>
        </row>
        <row r="372">
          <cell r="G372" t="str">
            <v>06050210080040</v>
          </cell>
        </row>
        <row r="373">
          <cell r="G373" t="str">
            <v>06050210080040200</v>
          </cell>
        </row>
        <row r="374">
          <cell r="G374" t="str">
            <v>06050210080040240</v>
          </cell>
        </row>
        <row r="375">
          <cell r="G375" t="str">
            <v>06050210080040244</v>
          </cell>
        </row>
        <row r="376">
          <cell r="G376" t="str">
            <v>0800</v>
          </cell>
        </row>
        <row r="377">
          <cell r="G377" t="str">
            <v>0801</v>
          </cell>
        </row>
        <row r="378">
          <cell r="G378" t="str">
            <v>08011300000000</v>
          </cell>
        </row>
        <row r="379">
          <cell r="G379" t="str">
            <v>08011310000000</v>
          </cell>
        </row>
        <row r="380">
          <cell r="G380" t="str">
            <v>08011310080010</v>
          </cell>
        </row>
        <row r="381">
          <cell r="G381" t="str">
            <v>08011310080010600</v>
          </cell>
        </row>
        <row r="382">
          <cell r="G382" t="str">
            <v>08011310080010630</v>
          </cell>
        </row>
        <row r="383">
          <cell r="G383" t="str">
            <v>08011310080010633</v>
          </cell>
        </row>
        <row r="384">
          <cell r="G384" t="str">
            <v>1000</v>
          </cell>
        </row>
        <row r="385">
          <cell r="G385" t="str">
            <v>1001</v>
          </cell>
        </row>
        <row r="386">
          <cell r="G386" t="str">
            <v>10019000000000</v>
          </cell>
        </row>
        <row r="387">
          <cell r="G387" t="str">
            <v>10019090000000</v>
          </cell>
        </row>
        <row r="388">
          <cell r="G388" t="str">
            <v>10019090080000</v>
          </cell>
        </row>
        <row r="389">
          <cell r="G389" t="str">
            <v>10019090080000300</v>
          </cell>
        </row>
        <row r="390">
          <cell r="G390" t="str">
            <v>10019090080000310</v>
          </cell>
        </row>
        <row r="391">
          <cell r="G391" t="str">
            <v>10019090080000312</v>
          </cell>
        </row>
        <row r="392">
          <cell r="G392" t="str">
            <v>1006</v>
          </cell>
        </row>
        <row r="393">
          <cell r="G393" t="str">
            <v>10068000000000</v>
          </cell>
        </row>
        <row r="394">
          <cell r="G394" t="str">
            <v>10068020000000</v>
          </cell>
        </row>
        <row r="395">
          <cell r="G395" t="str">
            <v>10068020002890</v>
          </cell>
        </row>
        <row r="396">
          <cell r="G396" t="str">
            <v>10068020002890100</v>
          </cell>
        </row>
        <row r="397">
          <cell r="G397" t="str">
            <v>10068020002890120</v>
          </cell>
        </row>
        <row r="398">
          <cell r="G398" t="str">
            <v>10068020002890121</v>
          </cell>
        </row>
        <row r="399">
          <cell r="G399" t="str">
            <v>10068020002890122</v>
          </cell>
        </row>
        <row r="400">
          <cell r="G400" t="str">
            <v>10068020002890129</v>
          </cell>
        </row>
        <row r="401">
          <cell r="G401" t="str">
            <v>10068020002890200</v>
          </cell>
        </row>
        <row r="402">
          <cell r="G402" t="str">
            <v>10068020002890240</v>
          </cell>
        </row>
        <row r="403">
          <cell r="G403" t="str">
            <v>10068020002890244</v>
          </cell>
        </row>
        <row r="404">
          <cell r="G404" t="str">
            <v/>
          </cell>
        </row>
        <row r="405">
          <cell r="G405" t="str">
            <v>0100</v>
          </cell>
        </row>
        <row r="406">
          <cell r="G406" t="str">
            <v>0113</v>
          </cell>
        </row>
        <row r="407">
          <cell r="G407" t="str">
            <v>01139000000000</v>
          </cell>
        </row>
        <row r="408">
          <cell r="G408" t="str">
            <v>01139070000000</v>
          </cell>
        </row>
        <row r="409">
          <cell r="G409" t="str">
            <v>01139070040000</v>
          </cell>
        </row>
        <row r="410">
          <cell r="G410" t="str">
            <v>01139070040000100</v>
          </cell>
        </row>
        <row r="411">
          <cell r="G411" t="str">
            <v>01139070040000120</v>
          </cell>
        </row>
        <row r="412">
          <cell r="G412" t="str">
            <v>01139070040000121</v>
          </cell>
        </row>
        <row r="413">
          <cell r="G413" t="str">
            <v>01139070040000122</v>
          </cell>
        </row>
        <row r="414">
          <cell r="G414" t="str">
            <v>01139070040000129</v>
          </cell>
        </row>
        <row r="415">
          <cell r="G415" t="str">
            <v>01139070040000200</v>
          </cell>
        </row>
        <row r="416">
          <cell r="G416" t="str">
            <v>01139070040000240</v>
          </cell>
        </row>
        <row r="417">
          <cell r="G417" t="str">
            <v>01139070040000244</v>
          </cell>
        </row>
        <row r="418">
          <cell r="G418" t="str">
            <v>01139070047000</v>
          </cell>
        </row>
        <row r="419">
          <cell r="G419" t="str">
            <v>01139070047000100</v>
          </cell>
        </row>
        <row r="420">
          <cell r="G420" t="str">
            <v>01139070047000120</v>
          </cell>
        </row>
        <row r="421">
          <cell r="G421" t="str">
            <v>01139070047000122</v>
          </cell>
        </row>
        <row r="422">
          <cell r="G422" t="str">
            <v/>
          </cell>
        </row>
        <row r="423">
          <cell r="G423" t="str">
            <v>0500</v>
          </cell>
        </row>
        <row r="424">
          <cell r="G424" t="str">
            <v>0502</v>
          </cell>
        </row>
        <row r="425">
          <cell r="G425" t="str">
            <v>05020300000000</v>
          </cell>
        </row>
        <row r="426">
          <cell r="G426" t="str">
            <v>05020350000000</v>
          </cell>
        </row>
        <row r="427">
          <cell r="G427" t="str">
            <v>05020350080000</v>
          </cell>
        </row>
        <row r="428">
          <cell r="G428" t="str">
            <v>05020350080000200</v>
          </cell>
        </row>
        <row r="429">
          <cell r="G429" t="str">
            <v>05020350080000240</v>
          </cell>
        </row>
        <row r="430">
          <cell r="G430" t="str">
            <v>05020350080000243</v>
          </cell>
        </row>
        <row r="431">
          <cell r="G431" t="str">
            <v>0505</v>
          </cell>
        </row>
        <row r="432">
          <cell r="G432" t="str">
            <v>05059000000000</v>
          </cell>
        </row>
        <row r="433">
          <cell r="G433" t="str">
            <v>05059050000000</v>
          </cell>
        </row>
        <row r="434">
          <cell r="G434" t="str">
            <v>05059050040000</v>
          </cell>
        </row>
        <row r="435">
          <cell r="G435" t="str">
            <v>05059050040000100</v>
          </cell>
        </row>
        <row r="436">
          <cell r="G436" t="str">
            <v>05059050040000110</v>
          </cell>
        </row>
        <row r="437">
          <cell r="G437" t="str">
            <v>05059050040000111</v>
          </cell>
        </row>
        <row r="438">
          <cell r="G438" t="str">
            <v>05059050040000112</v>
          </cell>
        </row>
        <row r="439">
          <cell r="G439" t="str">
            <v>05059050040000119</v>
          </cell>
        </row>
        <row r="440">
          <cell r="G440" t="str">
            <v>05059050040000200</v>
          </cell>
        </row>
        <row r="441">
          <cell r="G441" t="str">
            <v>05059050040000240</v>
          </cell>
        </row>
        <row r="442">
          <cell r="G442" t="str">
            <v>05059050040000244</v>
          </cell>
        </row>
        <row r="443">
          <cell r="G443" t="str">
            <v>05059050047000</v>
          </cell>
        </row>
        <row r="444">
          <cell r="G444" t="str">
            <v>05059050047000100</v>
          </cell>
        </row>
        <row r="445">
          <cell r="G445" t="str">
            <v>05059050047000110</v>
          </cell>
        </row>
        <row r="446">
          <cell r="G446" t="str">
            <v>05059050047000112</v>
          </cell>
        </row>
        <row r="447">
          <cell r="G447" t="str">
            <v>0600</v>
          </cell>
        </row>
        <row r="448">
          <cell r="G448" t="str">
            <v>0605</v>
          </cell>
        </row>
        <row r="449">
          <cell r="G449" t="str">
            <v>06050200000000</v>
          </cell>
        </row>
        <row r="450">
          <cell r="G450" t="str">
            <v>06050210000000</v>
          </cell>
        </row>
        <row r="451">
          <cell r="G451" t="str">
            <v>060502100S4940</v>
          </cell>
        </row>
        <row r="452">
          <cell r="G452" t="str">
            <v>060502100S4940200</v>
          </cell>
        </row>
        <row r="453">
          <cell r="G453" t="str">
            <v>060502100S4940240</v>
          </cell>
        </row>
        <row r="454">
          <cell r="G454" t="str">
            <v>060502100S4940244</v>
          </cell>
        </row>
        <row r="455">
          <cell r="G455" t="str">
            <v/>
          </cell>
        </row>
        <row r="456">
          <cell r="G456" t="str">
            <v>0700</v>
          </cell>
        </row>
        <row r="457">
          <cell r="G457" t="str">
            <v>0703</v>
          </cell>
        </row>
        <row r="458">
          <cell r="G458" t="str">
            <v>07030500000000</v>
          </cell>
        </row>
        <row r="459">
          <cell r="G459" t="str">
            <v>07030530000000</v>
          </cell>
        </row>
        <row r="460">
          <cell r="G460" t="str">
            <v>07030530040000</v>
          </cell>
        </row>
        <row r="461">
          <cell r="G461" t="str">
            <v>07030530040000600</v>
          </cell>
        </row>
        <row r="462">
          <cell r="G462" t="str">
            <v>07030530040000610</v>
          </cell>
        </row>
        <row r="463">
          <cell r="G463" t="str">
            <v>07030530040000611</v>
          </cell>
        </row>
        <row r="464">
          <cell r="G464" t="str">
            <v>07030530041000</v>
          </cell>
        </row>
        <row r="465">
          <cell r="G465" t="str">
            <v>07030530041000600</v>
          </cell>
        </row>
        <row r="466">
          <cell r="G466" t="str">
            <v>07030530041000610</v>
          </cell>
        </row>
        <row r="467">
          <cell r="G467" t="str">
            <v>07030530041000611</v>
          </cell>
        </row>
        <row r="468">
          <cell r="G468" t="str">
            <v>07030530045000</v>
          </cell>
        </row>
        <row r="469">
          <cell r="G469" t="str">
            <v>07030530045000600</v>
          </cell>
        </row>
        <row r="470">
          <cell r="G470" t="str">
            <v>07030530045000610</v>
          </cell>
        </row>
        <row r="471">
          <cell r="G471" t="str">
            <v>07030530045000611</v>
          </cell>
        </row>
        <row r="472">
          <cell r="G472" t="str">
            <v>07030530047000</v>
          </cell>
        </row>
        <row r="473">
          <cell r="G473" t="str">
            <v>07030530047000600</v>
          </cell>
        </row>
        <row r="474">
          <cell r="G474" t="str">
            <v>07030530047000610</v>
          </cell>
        </row>
        <row r="475">
          <cell r="G475" t="str">
            <v>07030530047000612</v>
          </cell>
        </row>
        <row r="476">
          <cell r="G476" t="str">
            <v>0703053004Г000</v>
          </cell>
        </row>
        <row r="477">
          <cell r="G477" t="str">
            <v>0703053004Г000600</v>
          </cell>
        </row>
        <row r="478">
          <cell r="G478" t="str">
            <v>0703053004Г000610</v>
          </cell>
        </row>
        <row r="479">
          <cell r="G479" t="str">
            <v>0703053004Г000611</v>
          </cell>
        </row>
        <row r="480">
          <cell r="G480" t="str">
            <v>0703053004М000</v>
          </cell>
        </row>
        <row r="481">
          <cell r="G481" t="str">
            <v>0703053004М000600</v>
          </cell>
        </row>
        <row r="482">
          <cell r="G482" t="str">
            <v>0703053004М000610</v>
          </cell>
        </row>
        <row r="483">
          <cell r="G483" t="str">
            <v>0703053004М000611</v>
          </cell>
        </row>
        <row r="484">
          <cell r="G484" t="str">
            <v>0703053004Э000</v>
          </cell>
        </row>
        <row r="485">
          <cell r="G485" t="str">
            <v>0703053004Э000600</v>
          </cell>
        </row>
        <row r="486">
          <cell r="G486" t="str">
            <v>0703053004Э000610</v>
          </cell>
        </row>
        <row r="487">
          <cell r="G487" t="str">
            <v>0703053004Э000611</v>
          </cell>
        </row>
        <row r="488">
          <cell r="G488" t="str">
            <v>0707</v>
          </cell>
        </row>
        <row r="489">
          <cell r="G489" t="str">
            <v>07070600000000</v>
          </cell>
        </row>
        <row r="490">
          <cell r="G490" t="str">
            <v>07070610000000</v>
          </cell>
        </row>
        <row r="491">
          <cell r="G491" t="str">
            <v>070706100S4560</v>
          </cell>
        </row>
        <row r="492">
          <cell r="G492" t="str">
            <v>070706100S4560600</v>
          </cell>
        </row>
        <row r="493">
          <cell r="G493" t="str">
            <v>070706100S4560610</v>
          </cell>
        </row>
        <row r="494">
          <cell r="G494" t="str">
            <v>070706100S4560612</v>
          </cell>
        </row>
        <row r="495">
          <cell r="G495" t="str">
            <v>07070640000000</v>
          </cell>
        </row>
        <row r="496">
          <cell r="G496" t="str">
            <v>07070640040000</v>
          </cell>
        </row>
        <row r="497">
          <cell r="G497" t="str">
            <v>07070640040000600</v>
          </cell>
        </row>
        <row r="498">
          <cell r="G498" t="str">
            <v>07070640040000610</v>
          </cell>
        </row>
        <row r="499">
          <cell r="G499" t="str">
            <v>07070640040000611</v>
          </cell>
        </row>
        <row r="500">
          <cell r="G500" t="str">
            <v>07070640041000</v>
          </cell>
        </row>
        <row r="501">
          <cell r="G501" t="str">
            <v>07070640041000600</v>
          </cell>
        </row>
        <row r="502">
          <cell r="G502" t="str">
            <v>07070640041000610</v>
          </cell>
        </row>
        <row r="503">
          <cell r="G503" t="str">
            <v>07070640041000611</v>
          </cell>
        </row>
        <row r="504">
          <cell r="G504" t="str">
            <v>07070640047000</v>
          </cell>
        </row>
        <row r="505">
          <cell r="G505" t="str">
            <v>07070640047000600</v>
          </cell>
        </row>
        <row r="506">
          <cell r="G506" t="str">
            <v>07070640047000610</v>
          </cell>
        </row>
        <row r="507">
          <cell r="G507" t="str">
            <v>07070640047000612</v>
          </cell>
        </row>
        <row r="508">
          <cell r="G508" t="str">
            <v>0707064004Г000</v>
          </cell>
        </row>
        <row r="509">
          <cell r="G509" t="str">
            <v>0707064004Г000600</v>
          </cell>
        </row>
        <row r="510">
          <cell r="G510" t="str">
            <v>0707064004Г000610</v>
          </cell>
        </row>
        <row r="511">
          <cell r="G511" t="str">
            <v>0707064004Г000611</v>
          </cell>
        </row>
        <row r="512">
          <cell r="G512" t="str">
            <v>0707064004М000</v>
          </cell>
        </row>
        <row r="513">
          <cell r="G513" t="str">
            <v>0707064004М000600</v>
          </cell>
        </row>
        <row r="514">
          <cell r="G514" t="str">
            <v>0707064004М000610</v>
          </cell>
        </row>
        <row r="515">
          <cell r="G515" t="str">
            <v>0707064004М000611</v>
          </cell>
        </row>
        <row r="516">
          <cell r="G516" t="str">
            <v>0707064004Э000</v>
          </cell>
        </row>
        <row r="517">
          <cell r="G517" t="str">
            <v>0707064004Э000600</v>
          </cell>
        </row>
        <row r="518">
          <cell r="G518" t="str">
            <v>0707064004Э000610</v>
          </cell>
        </row>
        <row r="519">
          <cell r="G519" t="str">
            <v>0707064004Э000611</v>
          </cell>
        </row>
        <row r="520">
          <cell r="G520" t="str">
            <v>070706400S4560</v>
          </cell>
        </row>
        <row r="521">
          <cell r="G521" t="str">
            <v>070706400S4560600</v>
          </cell>
        </row>
        <row r="522">
          <cell r="G522" t="str">
            <v>070706400S4560610</v>
          </cell>
        </row>
        <row r="523">
          <cell r="G523" t="str">
            <v>070706400S4560611</v>
          </cell>
        </row>
        <row r="524">
          <cell r="G524" t="str">
            <v>070706400S4560612</v>
          </cell>
        </row>
        <row r="525">
          <cell r="G525" t="str">
            <v>0800</v>
          </cell>
        </row>
        <row r="526">
          <cell r="G526" t="str">
            <v>0801</v>
          </cell>
        </row>
        <row r="527">
          <cell r="G527" t="str">
            <v>08010500000000</v>
          </cell>
        </row>
        <row r="528">
          <cell r="G528" t="str">
            <v>08010510000000</v>
          </cell>
        </row>
        <row r="529">
          <cell r="G529" t="str">
            <v>08010510040000</v>
          </cell>
        </row>
        <row r="530">
          <cell r="G530" t="str">
            <v>08010510040000600</v>
          </cell>
        </row>
        <row r="531">
          <cell r="G531" t="str">
            <v>08010510040000610</v>
          </cell>
        </row>
        <row r="532">
          <cell r="G532" t="str">
            <v>08010510040000611</v>
          </cell>
        </row>
        <row r="533">
          <cell r="G533" t="str">
            <v>08010510041000</v>
          </cell>
        </row>
        <row r="534">
          <cell r="G534" t="str">
            <v>08010510041000600</v>
          </cell>
        </row>
        <row r="535">
          <cell r="G535" t="str">
            <v>08010510041000610</v>
          </cell>
        </row>
        <row r="536">
          <cell r="G536" t="str">
            <v>08010510041000611</v>
          </cell>
        </row>
        <row r="537">
          <cell r="G537" t="str">
            <v>08010510045000</v>
          </cell>
        </row>
        <row r="538">
          <cell r="G538" t="str">
            <v>08010510045000600</v>
          </cell>
        </row>
        <row r="539">
          <cell r="G539" t="str">
            <v>08010510045000610</v>
          </cell>
        </row>
        <row r="540">
          <cell r="G540" t="str">
            <v>08010510045000611</v>
          </cell>
        </row>
        <row r="541">
          <cell r="G541" t="str">
            <v>08010510047000</v>
          </cell>
        </row>
        <row r="542">
          <cell r="G542" t="str">
            <v>08010510047000600</v>
          </cell>
        </row>
        <row r="543">
          <cell r="G543" t="str">
            <v>08010510047000610</v>
          </cell>
        </row>
        <row r="544">
          <cell r="G544" t="str">
            <v>08010510047000612</v>
          </cell>
        </row>
        <row r="545">
          <cell r="G545" t="str">
            <v>0801051004Г000</v>
          </cell>
        </row>
        <row r="546">
          <cell r="G546" t="str">
            <v>0801051004Г000600</v>
          </cell>
        </row>
        <row r="547">
          <cell r="G547" t="str">
            <v>0801051004Г000610</v>
          </cell>
        </row>
        <row r="548">
          <cell r="G548" t="str">
            <v>0801051004Г000611</v>
          </cell>
        </row>
        <row r="549">
          <cell r="G549" t="str">
            <v>0801051004М000</v>
          </cell>
        </row>
        <row r="550">
          <cell r="G550" t="str">
            <v>0801051004М000600</v>
          </cell>
        </row>
        <row r="551">
          <cell r="G551" t="str">
            <v>0801051004М000610</v>
          </cell>
        </row>
        <row r="552">
          <cell r="G552" t="str">
            <v>0801051004М000611</v>
          </cell>
        </row>
        <row r="553">
          <cell r="G553" t="str">
            <v>0801051004Э000</v>
          </cell>
        </row>
        <row r="554">
          <cell r="G554" t="str">
            <v>0801051004Э000600</v>
          </cell>
        </row>
        <row r="555">
          <cell r="G555" t="str">
            <v>0801051004Э000610</v>
          </cell>
        </row>
        <row r="556">
          <cell r="G556" t="str">
            <v>0801051004Э000611</v>
          </cell>
        </row>
        <row r="557">
          <cell r="G557" t="str">
            <v>08010510080530</v>
          </cell>
        </row>
        <row r="558">
          <cell r="G558" t="str">
            <v>08010510080530600</v>
          </cell>
        </row>
        <row r="559">
          <cell r="G559" t="str">
            <v>08010510080530610</v>
          </cell>
        </row>
        <row r="560">
          <cell r="G560" t="str">
            <v>08010510080530612</v>
          </cell>
        </row>
        <row r="561">
          <cell r="G561" t="str">
            <v>080105100S4880</v>
          </cell>
        </row>
        <row r="562">
          <cell r="G562" t="str">
            <v>080105100S4880600</v>
          </cell>
        </row>
        <row r="563">
          <cell r="G563" t="str">
            <v>080105100S4880610</v>
          </cell>
        </row>
        <row r="564">
          <cell r="G564" t="str">
            <v>080105100S4880612</v>
          </cell>
        </row>
        <row r="565">
          <cell r="G565" t="str">
            <v>08010520000000</v>
          </cell>
        </row>
        <row r="566">
          <cell r="G566" t="str">
            <v>08010520040000</v>
          </cell>
        </row>
        <row r="567">
          <cell r="G567" t="str">
            <v>08010520040000600</v>
          </cell>
        </row>
        <row r="568">
          <cell r="G568" t="str">
            <v>08010520040000610</v>
          </cell>
        </row>
        <row r="569">
          <cell r="G569" t="str">
            <v>08010520040000611</v>
          </cell>
        </row>
        <row r="570">
          <cell r="G570" t="str">
            <v>08010520041000</v>
          </cell>
        </row>
        <row r="571">
          <cell r="G571" t="str">
            <v>08010520041000600</v>
          </cell>
        </row>
        <row r="572">
          <cell r="G572" t="str">
            <v>08010520041000610</v>
          </cell>
        </row>
        <row r="573">
          <cell r="G573" t="str">
            <v>08010520041000611</v>
          </cell>
        </row>
        <row r="574">
          <cell r="G574" t="str">
            <v>08010520045000</v>
          </cell>
        </row>
        <row r="575">
          <cell r="G575" t="str">
            <v>08010520045000600</v>
          </cell>
        </row>
        <row r="576">
          <cell r="G576" t="str">
            <v>08010520045000610</v>
          </cell>
        </row>
        <row r="577">
          <cell r="G577" t="str">
            <v>08010520045000611</v>
          </cell>
        </row>
        <row r="578">
          <cell r="G578" t="str">
            <v>08010520047000</v>
          </cell>
        </row>
        <row r="579">
          <cell r="G579" t="str">
            <v>08010520047000600</v>
          </cell>
        </row>
        <row r="580">
          <cell r="G580" t="str">
            <v>08010520047000610</v>
          </cell>
        </row>
        <row r="581">
          <cell r="G581" t="str">
            <v>08010520047000612</v>
          </cell>
        </row>
        <row r="582">
          <cell r="G582" t="str">
            <v>0801052004Г000</v>
          </cell>
        </row>
        <row r="583">
          <cell r="G583" t="str">
            <v>0801052004Г000600</v>
          </cell>
        </row>
        <row r="584">
          <cell r="G584" t="str">
            <v>0801052004Г000610</v>
          </cell>
        </row>
        <row r="585">
          <cell r="G585" t="str">
            <v>0801052004Г000611</v>
          </cell>
        </row>
        <row r="586">
          <cell r="G586" t="str">
            <v>0801052004М000</v>
          </cell>
        </row>
        <row r="587">
          <cell r="G587" t="str">
            <v>0801052004М000600</v>
          </cell>
        </row>
        <row r="588">
          <cell r="G588" t="str">
            <v>0801052004М000610</v>
          </cell>
        </row>
        <row r="589">
          <cell r="G589" t="str">
            <v>0801052004М000611</v>
          </cell>
        </row>
        <row r="590">
          <cell r="G590" t="str">
            <v>0801052004Э000</v>
          </cell>
        </row>
        <row r="591">
          <cell r="G591" t="str">
            <v>0801052004Э000600</v>
          </cell>
        </row>
        <row r="592">
          <cell r="G592" t="str">
            <v>0801052004Э000610</v>
          </cell>
        </row>
        <row r="593">
          <cell r="G593" t="str">
            <v>0801052004Э000611</v>
          </cell>
        </row>
        <row r="594">
          <cell r="G594" t="str">
            <v>08011300000000</v>
          </cell>
        </row>
        <row r="595">
          <cell r="G595" t="str">
            <v>08011320000000</v>
          </cell>
        </row>
        <row r="596">
          <cell r="G596" t="str">
            <v>08011320080010</v>
          </cell>
        </row>
        <row r="597">
          <cell r="G597" t="str">
            <v>08011320080010200</v>
          </cell>
        </row>
        <row r="598">
          <cell r="G598" t="str">
            <v>08011320080010240</v>
          </cell>
        </row>
        <row r="599">
          <cell r="G599" t="str">
            <v>08011320080010244</v>
          </cell>
        </row>
        <row r="600">
          <cell r="G600" t="str">
            <v>08011320080020</v>
          </cell>
        </row>
        <row r="601">
          <cell r="G601" t="str">
            <v>08011320080020200</v>
          </cell>
        </row>
        <row r="602">
          <cell r="G602" t="str">
            <v>08011320080020240</v>
          </cell>
        </row>
        <row r="603">
          <cell r="G603" t="str">
            <v>08011320080020244</v>
          </cell>
        </row>
        <row r="604">
          <cell r="G604" t="str">
            <v>0804</v>
          </cell>
        </row>
        <row r="605">
          <cell r="G605" t="str">
            <v>08040500000000</v>
          </cell>
        </row>
        <row r="606">
          <cell r="G606" t="str">
            <v>08040530000000</v>
          </cell>
        </row>
        <row r="607">
          <cell r="G607" t="str">
            <v>08040530040000</v>
          </cell>
        </row>
        <row r="608">
          <cell r="G608" t="str">
            <v>08040530040000100</v>
          </cell>
        </row>
        <row r="609">
          <cell r="G609" t="str">
            <v>08040530040000110</v>
          </cell>
        </row>
        <row r="610">
          <cell r="G610" t="str">
            <v>08040530040000111</v>
          </cell>
        </row>
        <row r="611">
          <cell r="G611" t="str">
            <v>08040530040000112</v>
          </cell>
        </row>
        <row r="612">
          <cell r="G612" t="str">
            <v>08040530040000119</v>
          </cell>
        </row>
        <row r="613">
          <cell r="G613" t="str">
            <v>08040530040000200</v>
          </cell>
        </row>
        <row r="614">
          <cell r="G614" t="str">
            <v>08040530040000240</v>
          </cell>
        </row>
        <row r="615">
          <cell r="G615" t="str">
            <v>08040530040000244</v>
          </cell>
        </row>
        <row r="616">
          <cell r="G616" t="str">
            <v>08040530040000300</v>
          </cell>
        </row>
        <row r="617">
          <cell r="G617" t="str">
            <v>08040530040000320</v>
          </cell>
        </row>
        <row r="618">
          <cell r="G618" t="str">
            <v>08040530040000321</v>
          </cell>
        </row>
        <row r="619">
          <cell r="G619" t="str">
            <v>08040530040000800</v>
          </cell>
        </row>
        <row r="620">
          <cell r="G620" t="str">
            <v>08040530040000850</v>
          </cell>
        </row>
        <row r="621">
          <cell r="G621" t="str">
            <v>08040530040000853</v>
          </cell>
        </row>
        <row r="622">
          <cell r="G622" t="str">
            <v>08040530041000</v>
          </cell>
        </row>
        <row r="623">
          <cell r="G623" t="str">
            <v>08040530041000100</v>
          </cell>
        </row>
        <row r="624">
          <cell r="G624" t="str">
            <v>08040530041000110</v>
          </cell>
        </row>
        <row r="625">
          <cell r="G625" t="str">
            <v>08040530041000111</v>
          </cell>
        </row>
        <row r="626">
          <cell r="G626" t="str">
            <v>08040530041000119</v>
          </cell>
        </row>
        <row r="627">
          <cell r="G627" t="str">
            <v>08040530047000</v>
          </cell>
        </row>
        <row r="628">
          <cell r="G628" t="str">
            <v>08040530047000100</v>
          </cell>
        </row>
        <row r="629">
          <cell r="G629" t="str">
            <v>08040530047000110</v>
          </cell>
        </row>
        <row r="630">
          <cell r="G630" t="str">
            <v>08040530047000112</v>
          </cell>
        </row>
        <row r="631">
          <cell r="G631" t="str">
            <v>0804053004Г000</v>
          </cell>
        </row>
        <row r="632">
          <cell r="G632" t="str">
            <v>0804053004Г000200</v>
          </cell>
        </row>
        <row r="633">
          <cell r="G633" t="str">
            <v>0804053004Г000240</v>
          </cell>
        </row>
        <row r="634">
          <cell r="G634" t="str">
            <v>0804053004Г000244</v>
          </cell>
        </row>
        <row r="635">
          <cell r="G635" t="str">
            <v>0804053004Г000247</v>
          </cell>
        </row>
        <row r="636">
          <cell r="G636" t="str">
            <v>0804053004М000</v>
          </cell>
        </row>
        <row r="637">
          <cell r="G637" t="str">
            <v>0804053004М000200</v>
          </cell>
        </row>
        <row r="638">
          <cell r="G638" t="str">
            <v>0804053004М000240</v>
          </cell>
        </row>
        <row r="639">
          <cell r="G639" t="str">
            <v>0804053004М000244</v>
          </cell>
        </row>
        <row r="640">
          <cell r="G640" t="str">
            <v>0804053004Ф000</v>
          </cell>
        </row>
        <row r="641">
          <cell r="G641" t="str">
            <v>0804053004Ф000200</v>
          </cell>
        </row>
        <row r="642">
          <cell r="G642" t="str">
            <v>0804053004Ф000240</v>
          </cell>
        </row>
        <row r="643">
          <cell r="G643" t="str">
            <v>0804053004Ф000244</v>
          </cell>
        </row>
        <row r="644">
          <cell r="G644" t="str">
            <v>0804053004Э000</v>
          </cell>
        </row>
        <row r="645">
          <cell r="G645" t="str">
            <v>0804053004Э000200</v>
          </cell>
        </row>
        <row r="646">
          <cell r="G646" t="str">
            <v>0804053004Э000240</v>
          </cell>
        </row>
        <row r="647">
          <cell r="G647" t="str">
            <v>0804053004Э000247</v>
          </cell>
        </row>
        <row r="648">
          <cell r="G648" t="str">
            <v>1100</v>
          </cell>
        </row>
        <row r="649">
          <cell r="G649" t="str">
            <v>1101</v>
          </cell>
        </row>
        <row r="650">
          <cell r="G650" t="str">
            <v>11010700000000</v>
          </cell>
        </row>
        <row r="651">
          <cell r="G651" t="str">
            <v>11010710000000</v>
          </cell>
        </row>
        <row r="652">
          <cell r="G652" t="str">
            <v>11010710040000</v>
          </cell>
        </row>
        <row r="653">
          <cell r="G653" t="str">
            <v>11010710040000600</v>
          </cell>
        </row>
        <row r="654">
          <cell r="G654" t="str">
            <v>11010710040000610</v>
          </cell>
        </row>
        <row r="655">
          <cell r="G655" t="str">
            <v>11010710040000611</v>
          </cell>
        </row>
        <row r="656">
          <cell r="G656" t="str">
            <v>11010710041000</v>
          </cell>
        </row>
        <row r="657">
          <cell r="G657" t="str">
            <v>11010710041000600</v>
          </cell>
        </row>
        <row r="658">
          <cell r="G658" t="str">
            <v>11010710041000610</v>
          </cell>
        </row>
        <row r="659">
          <cell r="G659" t="str">
            <v>11010710041000611</v>
          </cell>
        </row>
        <row r="660">
          <cell r="G660" t="str">
            <v>11010710047000</v>
          </cell>
        </row>
        <row r="661">
          <cell r="G661" t="str">
            <v>11010710047000600</v>
          </cell>
        </row>
        <row r="662">
          <cell r="G662" t="str">
            <v>11010710047000610</v>
          </cell>
        </row>
        <row r="663">
          <cell r="G663" t="str">
            <v>11010710047000612</v>
          </cell>
        </row>
        <row r="664">
          <cell r="G664" t="str">
            <v>1101071004Г000</v>
          </cell>
        </row>
        <row r="665">
          <cell r="G665" t="str">
            <v>1101071004Г000600</v>
          </cell>
        </row>
        <row r="666">
          <cell r="G666" t="str">
            <v>1101071004Г000610</v>
          </cell>
        </row>
        <row r="667">
          <cell r="G667" t="str">
            <v>1101071004Г000611</v>
          </cell>
        </row>
        <row r="668">
          <cell r="G668" t="str">
            <v>1101071004М000</v>
          </cell>
        </row>
        <row r="669">
          <cell r="G669" t="str">
            <v>1101071004М000600</v>
          </cell>
        </row>
        <row r="670">
          <cell r="G670" t="str">
            <v>1101071004М000610</v>
          </cell>
        </row>
        <row r="671">
          <cell r="G671" t="str">
            <v>1101071004М000611</v>
          </cell>
        </row>
        <row r="672">
          <cell r="G672" t="str">
            <v>1101071004Э000</v>
          </cell>
        </row>
        <row r="673">
          <cell r="G673" t="str">
            <v>1101071004Э000600</v>
          </cell>
        </row>
        <row r="674">
          <cell r="G674" t="str">
            <v>1101071004Э000610</v>
          </cell>
        </row>
        <row r="675">
          <cell r="G675" t="str">
            <v>1101071004Э000611</v>
          </cell>
        </row>
        <row r="676">
          <cell r="G676" t="str">
            <v>110107100Ч0020</v>
          </cell>
        </row>
        <row r="677">
          <cell r="G677" t="str">
            <v>110107100Ч0020600</v>
          </cell>
        </row>
        <row r="678">
          <cell r="G678" t="str">
            <v>110107100Ч0020610</v>
          </cell>
        </row>
        <row r="679">
          <cell r="G679" t="str">
            <v>110107100Ч0020611</v>
          </cell>
        </row>
        <row r="680">
          <cell r="G680" t="str">
            <v>1102</v>
          </cell>
        </row>
        <row r="681">
          <cell r="G681" t="str">
            <v>11020700000000</v>
          </cell>
        </row>
        <row r="682">
          <cell r="G682" t="str">
            <v>11020710000000</v>
          </cell>
        </row>
        <row r="683">
          <cell r="G683" t="str">
            <v>110207100Ф0000</v>
          </cell>
        </row>
        <row r="684">
          <cell r="G684" t="str">
            <v>110207100Ф0000600</v>
          </cell>
        </row>
        <row r="685">
          <cell r="G685" t="str">
            <v>110207100Ф0000610</v>
          </cell>
        </row>
        <row r="686">
          <cell r="G686" t="str">
            <v>110207100Ф0000612</v>
          </cell>
        </row>
        <row r="687">
          <cell r="G687" t="str">
            <v>11020720000000</v>
          </cell>
        </row>
        <row r="688">
          <cell r="G688" t="str">
            <v>11020720080020</v>
          </cell>
        </row>
        <row r="689">
          <cell r="G689" t="str">
            <v>11020720080020600</v>
          </cell>
        </row>
        <row r="690">
          <cell r="G690" t="str">
            <v>11020720080020610</v>
          </cell>
        </row>
        <row r="691">
          <cell r="G691" t="str">
            <v>11020720080020612</v>
          </cell>
        </row>
        <row r="692">
          <cell r="G692" t="str">
            <v/>
          </cell>
        </row>
        <row r="693">
          <cell r="G693" t="str">
            <v>0100</v>
          </cell>
        </row>
        <row r="694">
          <cell r="G694" t="str">
            <v>0113</v>
          </cell>
        </row>
        <row r="695">
          <cell r="G695" t="str">
            <v>01139000000000</v>
          </cell>
        </row>
        <row r="696">
          <cell r="G696" t="str">
            <v>01139090000000</v>
          </cell>
        </row>
        <row r="697">
          <cell r="G697" t="str">
            <v>011390900Д0000</v>
          </cell>
        </row>
        <row r="698">
          <cell r="G698" t="str">
            <v>011390900Д0000200</v>
          </cell>
        </row>
        <row r="699">
          <cell r="G699" t="str">
            <v>011390900Д0000240</v>
          </cell>
        </row>
        <row r="700">
          <cell r="G700" t="str">
            <v>011390900Д0000244</v>
          </cell>
        </row>
        <row r="701">
          <cell r="G701" t="str">
            <v>0400</v>
          </cell>
        </row>
        <row r="702">
          <cell r="G702" t="str">
            <v>0412</v>
          </cell>
        </row>
        <row r="703">
          <cell r="G703" t="str">
            <v>04129000000000</v>
          </cell>
        </row>
        <row r="704">
          <cell r="G704" t="str">
            <v>04129090000000</v>
          </cell>
        </row>
        <row r="705">
          <cell r="G705" t="str">
            <v>041290900Ж0000</v>
          </cell>
        </row>
        <row r="706">
          <cell r="G706" t="str">
            <v>041290900Ж0000200</v>
          </cell>
        </row>
        <row r="707">
          <cell r="G707" t="str">
            <v>041290900Ж0000240</v>
          </cell>
        </row>
        <row r="708">
          <cell r="G708" t="str">
            <v>041290900Ж0000244</v>
          </cell>
        </row>
        <row r="709">
          <cell r="G709" t="str">
            <v>0500</v>
          </cell>
        </row>
        <row r="710">
          <cell r="G710" t="str">
            <v>0501</v>
          </cell>
        </row>
        <row r="711">
          <cell r="G711" t="str">
            <v>05010300000000</v>
          </cell>
        </row>
        <row r="712">
          <cell r="G712" t="str">
            <v>05010330000000</v>
          </cell>
        </row>
        <row r="713">
          <cell r="G713" t="str">
            <v>05010330080000</v>
          </cell>
        </row>
        <row r="714">
          <cell r="G714" t="str">
            <v>05010330080000200</v>
          </cell>
        </row>
        <row r="715">
          <cell r="G715" t="str">
            <v>05010330080000240</v>
          </cell>
        </row>
        <row r="716">
          <cell r="G716" t="str">
            <v>05010330080000244</v>
          </cell>
        </row>
        <row r="717">
          <cell r="G717" t="str">
            <v>05011000000000</v>
          </cell>
        </row>
        <row r="718">
          <cell r="G718" t="str">
            <v>05011050000000</v>
          </cell>
        </row>
        <row r="719">
          <cell r="G719" t="str">
            <v>05011050080000</v>
          </cell>
        </row>
        <row r="720">
          <cell r="G720" t="str">
            <v>05011050080000300</v>
          </cell>
        </row>
        <row r="721">
          <cell r="G721" t="str">
            <v>05011050080000360</v>
          </cell>
        </row>
        <row r="722">
          <cell r="G722" t="str">
            <v>0502</v>
          </cell>
        </row>
        <row r="723">
          <cell r="G723" t="str">
            <v>05020300000000</v>
          </cell>
        </row>
        <row r="724">
          <cell r="G724" t="str">
            <v>05020350000000</v>
          </cell>
        </row>
        <row r="725">
          <cell r="G725" t="str">
            <v>0502035008Ф000</v>
          </cell>
        </row>
        <row r="726">
          <cell r="G726" t="str">
            <v>0502035008Ф000200</v>
          </cell>
        </row>
        <row r="727">
          <cell r="G727" t="str">
            <v>0502035008Ф000240</v>
          </cell>
        </row>
        <row r="728">
          <cell r="G728" t="str">
            <v>0502035008Ф000244</v>
          </cell>
        </row>
        <row r="729">
          <cell r="G729" t="str">
            <v>0600</v>
          </cell>
        </row>
        <row r="730">
          <cell r="G730" t="str">
            <v>0605</v>
          </cell>
        </row>
        <row r="731">
          <cell r="G731" t="str">
            <v>06050200000000</v>
          </cell>
        </row>
        <row r="732">
          <cell r="G732" t="str">
            <v>06050210000000</v>
          </cell>
        </row>
        <row r="733">
          <cell r="G733" t="str">
            <v>060502100S4630</v>
          </cell>
        </row>
        <row r="734">
          <cell r="G734" t="str">
            <v>060502100S4630200</v>
          </cell>
        </row>
        <row r="735">
          <cell r="G735" t="str">
            <v>060502100S4630240</v>
          </cell>
        </row>
        <row r="736">
          <cell r="G736" t="str">
            <v>060502100S4630244</v>
          </cell>
        </row>
        <row r="737">
          <cell r="G737" t="str">
            <v>1000</v>
          </cell>
        </row>
        <row r="738">
          <cell r="G738" t="str">
            <v>1004</v>
          </cell>
        </row>
        <row r="739">
          <cell r="G739" t="str">
            <v>10040100000000</v>
          </cell>
        </row>
        <row r="740">
          <cell r="G740" t="str">
            <v>10040120000000</v>
          </cell>
        </row>
        <row r="741">
          <cell r="G741" t="str">
            <v>10040120075870</v>
          </cell>
        </row>
        <row r="742">
          <cell r="G742" t="str">
            <v>10040120075870400</v>
          </cell>
        </row>
        <row r="743">
          <cell r="G743" t="str">
            <v>10040120075870410</v>
          </cell>
        </row>
        <row r="744">
          <cell r="G744" t="str">
            <v>10040120075870412</v>
          </cell>
        </row>
        <row r="745">
          <cell r="G745" t="str">
            <v>1100</v>
          </cell>
        </row>
        <row r="746">
          <cell r="G746" t="str">
            <v>1101</v>
          </cell>
        </row>
        <row r="747">
          <cell r="G747" t="str">
            <v>11010700000000</v>
          </cell>
        </row>
        <row r="748">
          <cell r="G748" t="str">
            <v>11010710000000</v>
          </cell>
        </row>
        <row r="749">
          <cell r="G749" t="str">
            <v>1101071008Д000</v>
          </cell>
        </row>
        <row r="750">
          <cell r="G750" t="str">
            <v>1101071008Д000200</v>
          </cell>
        </row>
        <row r="751">
          <cell r="G751" t="str">
            <v>1101071008Д000240</v>
          </cell>
        </row>
        <row r="752">
          <cell r="G752" t="str">
            <v>1101071008Д000244</v>
          </cell>
        </row>
        <row r="753">
          <cell r="G753" t="str">
            <v/>
          </cell>
        </row>
        <row r="754">
          <cell r="G754" t="str">
            <v>0700</v>
          </cell>
        </row>
        <row r="755">
          <cell r="G755" t="str">
            <v>0701</v>
          </cell>
        </row>
        <row r="756">
          <cell r="G756" t="str">
            <v>07010100000000</v>
          </cell>
        </row>
        <row r="757">
          <cell r="G757" t="str">
            <v>07010110000000</v>
          </cell>
        </row>
        <row r="758">
          <cell r="G758" t="str">
            <v>07010110040010</v>
          </cell>
        </row>
        <row r="759">
          <cell r="G759" t="str">
            <v>07010110040010100</v>
          </cell>
        </row>
        <row r="760">
          <cell r="G760" t="str">
            <v>07010110040010110</v>
          </cell>
        </row>
        <row r="761">
          <cell r="G761" t="str">
            <v>07010110040010111</v>
          </cell>
        </row>
        <row r="762">
          <cell r="G762" t="str">
            <v>07010110040010119</v>
          </cell>
        </row>
        <row r="763">
          <cell r="G763" t="str">
            <v>07010110040010200</v>
          </cell>
        </row>
        <row r="764">
          <cell r="G764" t="str">
            <v>07010110040010240</v>
          </cell>
        </row>
        <row r="765">
          <cell r="G765" t="str">
            <v>07010110040010244</v>
          </cell>
        </row>
        <row r="766">
          <cell r="G766" t="str">
            <v>07010110040010800</v>
          </cell>
        </row>
        <row r="767">
          <cell r="G767" t="str">
            <v>07010110040010850</v>
          </cell>
        </row>
        <row r="768">
          <cell r="G768" t="str">
            <v>07010110040010853</v>
          </cell>
        </row>
        <row r="769">
          <cell r="G769" t="str">
            <v>07010110041010</v>
          </cell>
        </row>
        <row r="770">
          <cell r="G770" t="str">
            <v>07010110041010100</v>
          </cell>
        </row>
        <row r="771">
          <cell r="G771" t="str">
            <v>07010110041010110</v>
          </cell>
        </row>
        <row r="772">
          <cell r="G772" t="str">
            <v>07010110041010111</v>
          </cell>
        </row>
        <row r="773">
          <cell r="G773" t="str">
            <v>07010110041010119</v>
          </cell>
        </row>
        <row r="774">
          <cell r="G774" t="str">
            <v>07010110047010</v>
          </cell>
        </row>
        <row r="775">
          <cell r="G775" t="str">
            <v>07010110047010100</v>
          </cell>
        </row>
        <row r="776">
          <cell r="G776" t="str">
            <v>07010110047010110</v>
          </cell>
        </row>
        <row r="777">
          <cell r="G777" t="str">
            <v>07010110047010112</v>
          </cell>
        </row>
        <row r="778">
          <cell r="G778" t="str">
            <v>0701011004Г010</v>
          </cell>
        </row>
        <row r="779">
          <cell r="G779" t="str">
            <v>0701011004Г010200</v>
          </cell>
        </row>
        <row r="780">
          <cell r="G780" t="str">
            <v>0701011004Г010240</v>
          </cell>
        </row>
        <row r="781">
          <cell r="G781" t="str">
            <v>0701011004Г010244</v>
          </cell>
        </row>
        <row r="782">
          <cell r="G782" t="str">
            <v>0701011004Г010247</v>
          </cell>
        </row>
        <row r="783">
          <cell r="G783" t="str">
            <v>0701011004М010</v>
          </cell>
        </row>
        <row r="784">
          <cell r="G784" t="str">
            <v>0701011004М010200</v>
          </cell>
        </row>
        <row r="785">
          <cell r="G785" t="str">
            <v>0701011004М010240</v>
          </cell>
        </row>
        <row r="786">
          <cell r="G786" t="str">
            <v>0701011004М010244</v>
          </cell>
        </row>
        <row r="787">
          <cell r="G787" t="str">
            <v>0701011004П010</v>
          </cell>
        </row>
        <row r="788">
          <cell r="G788" t="str">
            <v>0701011004П010200</v>
          </cell>
        </row>
        <row r="789">
          <cell r="G789" t="str">
            <v>0701011004П010240</v>
          </cell>
        </row>
        <row r="790">
          <cell r="G790" t="str">
            <v>0701011004П010244</v>
          </cell>
        </row>
        <row r="791">
          <cell r="G791" t="str">
            <v>0701011004Э010</v>
          </cell>
        </row>
        <row r="792">
          <cell r="G792" t="str">
            <v>0701011004Э010200</v>
          </cell>
        </row>
        <row r="793">
          <cell r="G793" t="str">
            <v>0701011004Э010240</v>
          </cell>
        </row>
        <row r="794">
          <cell r="G794" t="str">
            <v>0701011004Э010247</v>
          </cell>
        </row>
        <row r="795">
          <cell r="G795" t="str">
            <v>07010110074080</v>
          </cell>
        </row>
        <row r="796">
          <cell r="G796" t="str">
            <v>07010110074080100</v>
          </cell>
        </row>
        <row r="797">
          <cell r="G797" t="str">
            <v>07010110074080110</v>
          </cell>
        </row>
        <row r="798">
          <cell r="G798" t="str">
            <v>07010110074080111</v>
          </cell>
        </row>
        <row r="799">
          <cell r="G799" t="str">
            <v>07010110074080112</v>
          </cell>
        </row>
        <row r="800">
          <cell r="G800" t="str">
            <v>07010110074080119</v>
          </cell>
        </row>
        <row r="801">
          <cell r="G801" t="str">
            <v>07010110074080200</v>
          </cell>
        </row>
        <row r="802">
          <cell r="G802" t="str">
            <v>07010110074080240</v>
          </cell>
        </row>
        <row r="803">
          <cell r="G803" t="str">
            <v>07010110074080244</v>
          </cell>
        </row>
        <row r="804">
          <cell r="G804" t="str">
            <v>07010110075880</v>
          </cell>
        </row>
        <row r="805">
          <cell r="G805" t="str">
            <v>07010110075880100</v>
          </cell>
        </row>
        <row r="806">
          <cell r="G806" t="str">
            <v>07010110075880110</v>
          </cell>
        </row>
        <row r="807">
          <cell r="G807" t="str">
            <v>07010110075880111</v>
          </cell>
        </row>
        <row r="808">
          <cell r="G808" t="str">
            <v>07010110075880112</v>
          </cell>
        </row>
        <row r="809">
          <cell r="G809" t="str">
            <v>07010110075880119</v>
          </cell>
        </row>
        <row r="810">
          <cell r="G810" t="str">
            <v>07010110075880200</v>
          </cell>
        </row>
        <row r="811">
          <cell r="G811" t="str">
            <v>07010110075880240</v>
          </cell>
        </row>
        <row r="812">
          <cell r="G812" t="str">
            <v>07010110075880244</v>
          </cell>
        </row>
        <row r="813">
          <cell r="G813" t="str">
            <v>0702</v>
          </cell>
        </row>
        <row r="814">
          <cell r="G814" t="str">
            <v>07020100000000</v>
          </cell>
        </row>
        <row r="815">
          <cell r="G815" t="str">
            <v>07020110000000</v>
          </cell>
        </row>
        <row r="816">
          <cell r="G816" t="str">
            <v>07020110040020</v>
          </cell>
        </row>
        <row r="817">
          <cell r="G817" t="str">
            <v>07020110040020100</v>
          </cell>
        </row>
        <row r="818">
          <cell r="G818" t="str">
            <v>07020110040020110</v>
          </cell>
        </row>
        <row r="819">
          <cell r="G819" t="str">
            <v>07020110040020111</v>
          </cell>
        </row>
        <row r="820">
          <cell r="G820" t="str">
            <v>07020110040020112</v>
          </cell>
        </row>
        <row r="821">
          <cell r="G821" t="str">
            <v>07020110040020119</v>
          </cell>
        </row>
        <row r="822">
          <cell r="G822" t="str">
            <v>07020110040020200</v>
          </cell>
        </row>
        <row r="823">
          <cell r="G823" t="str">
            <v>07020110040020240</v>
          </cell>
        </row>
        <row r="824">
          <cell r="G824" t="str">
            <v>07020110040020244</v>
          </cell>
        </row>
        <row r="825">
          <cell r="G825" t="str">
            <v>07020110041020</v>
          </cell>
        </row>
        <row r="826">
          <cell r="G826" t="str">
            <v>07020110041020100</v>
          </cell>
        </row>
        <row r="827">
          <cell r="G827" t="str">
            <v>07020110041020110</v>
          </cell>
        </row>
        <row r="828">
          <cell r="G828" t="str">
            <v>07020110041020111</v>
          </cell>
        </row>
        <row r="829">
          <cell r="G829" t="str">
            <v>07020110041020119</v>
          </cell>
        </row>
        <row r="830">
          <cell r="G830" t="str">
            <v>07020110043020</v>
          </cell>
        </row>
        <row r="831">
          <cell r="G831" t="str">
            <v>07020110043020100</v>
          </cell>
        </row>
        <row r="832">
          <cell r="G832" t="str">
            <v>07020110043020110</v>
          </cell>
        </row>
        <row r="833">
          <cell r="G833" t="str">
            <v>07020110043020112</v>
          </cell>
        </row>
        <row r="834">
          <cell r="G834" t="str">
            <v>07020110043020113</v>
          </cell>
        </row>
        <row r="835">
          <cell r="G835" t="str">
            <v>07020110043020200</v>
          </cell>
        </row>
        <row r="836">
          <cell r="G836" t="str">
            <v>07020110043020240</v>
          </cell>
        </row>
        <row r="837">
          <cell r="G837" t="str">
            <v>07020110043020244</v>
          </cell>
        </row>
        <row r="838">
          <cell r="G838" t="str">
            <v>07020110047020</v>
          </cell>
        </row>
        <row r="839">
          <cell r="G839" t="str">
            <v>07020110047020100</v>
          </cell>
        </row>
        <row r="840">
          <cell r="G840" t="str">
            <v>07020110047020110</v>
          </cell>
        </row>
        <row r="841">
          <cell r="G841" t="str">
            <v>07020110047020112</v>
          </cell>
        </row>
        <row r="842">
          <cell r="G842" t="str">
            <v>0702011004Г020</v>
          </cell>
        </row>
        <row r="843">
          <cell r="G843" t="str">
            <v>0702011004Г020200</v>
          </cell>
        </row>
        <row r="844">
          <cell r="G844" t="str">
            <v>0702011004Г020240</v>
          </cell>
        </row>
        <row r="845">
          <cell r="G845" t="str">
            <v>0702011004Г020244</v>
          </cell>
        </row>
        <row r="846">
          <cell r="G846" t="str">
            <v>0702011004Г020247</v>
          </cell>
        </row>
        <row r="847">
          <cell r="G847" t="str">
            <v>0702011004М020</v>
          </cell>
        </row>
        <row r="848">
          <cell r="G848" t="str">
            <v>0702011004М020200</v>
          </cell>
        </row>
        <row r="849">
          <cell r="G849" t="str">
            <v>0702011004М020240</v>
          </cell>
        </row>
        <row r="850">
          <cell r="G850" t="str">
            <v>0702011004М020244</v>
          </cell>
        </row>
        <row r="851">
          <cell r="G851" t="str">
            <v>0702011004П020</v>
          </cell>
        </row>
        <row r="852">
          <cell r="G852" t="str">
            <v>0702011004П020200</v>
          </cell>
        </row>
        <row r="853">
          <cell r="G853" t="str">
            <v>0702011004П020240</v>
          </cell>
        </row>
        <row r="854">
          <cell r="G854" t="str">
            <v>0702011004П020244</v>
          </cell>
        </row>
        <row r="855">
          <cell r="G855" t="str">
            <v>0702011004Э020</v>
          </cell>
        </row>
        <row r="856">
          <cell r="G856" t="str">
            <v>0702011004Э020200</v>
          </cell>
        </row>
        <row r="857">
          <cell r="G857" t="str">
            <v>0702011004Э020240</v>
          </cell>
        </row>
        <row r="858">
          <cell r="G858" t="str">
            <v>0702011004Э020247</v>
          </cell>
        </row>
        <row r="859">
          <cell r="G859" t="str">
            <v>07020110074090</v>
          </cell>
        </row>
        <row r="860">
          <cell r="G860" t="str">
            <v>07020110074090100</v>
          </cell>
        </row>
        <row r="861">
          <cell r="G861" t="str">
            <v>07020110074090110</v>
          </cell>
        </row>
        <row r="862">
          <cell r="G862" t="str">
            <v>07020110074090111</v>
          </cell>
        </row>
        <row r="863">
          <cell r="G863" t="str">
            <v>07020110074090112</v>
          </cell>
        </row>
        <row r="864">
          <cell r="G864" t="str">
            <v>07020110074090119</v>
          </cell>
        </row>
        <row r="865">
          <cell r="G865" t="str">
            <v>07020110074090200</v>
          </cell>
        </row>
        <row r="866">
          <cell r="G866" t="str">
            <v>07020110074090240</v>
          </cell>
        </row>
        <row r="867">
          <cell r="G867" t="str">
            <v>07020110074090244</v>
          </cell>
        </row>
        <row r="868">
          <cell r="G868" t="str">
            <v>07020110075640</v>
          </cell>
        </row>
        <row r="869">
          <cell r="G869" t="str">
            <v>07020110075640100</v>
          </cell>
        </row>
        <row r="870">
          <cell r="G870" t="str">
            <v>07020110075640110</v>
          </cell>
        </row>
        <row r="871">
          <cell r="G871" t="str">
            <v>07020110075640111</v>
          </cell>
        </row>
        <row r="872">
          <cell r="G872" t="str">
            <v>07020110075640112</v>
          </cell>
        </row>
        <row r="873">
          <cell r="G873" t="str">
            <v>07020110075640119</v>
          </cell>
        </row>
        <row r="874">
          <cell r="G874" t="str">
            <v>07020110075640200</v>
          </cell>
        </row>
        <row r="875">
          <cell r="G875" t="str">
            <v>07020110075640240</v>
          </cell>
        </row>
        <row r="876">
          <cell r="G876" t="str">
            <v>07020110075640244</v>
          </cell>
        </row>
        <row r="877">
          <cell r="G877" t="str">
            <v>07020110080020</v>
          </cell>
        </row>
        <row r="878">
          <cell r="G878" t="str">
            <v>07020110080020200</v>
          </cell>
        </row>
        <row r="879">
          <cell r="G879" t="str">
            <v>07020110080020240</v>
          </cell>
        </row>
        <row r="880">
          <cell r="G880" t="str">
            <v>07020110080020244</v>
          </cell>
        </row>
        <row r="881">
          <cell r="G881" t="str">
            <v>07020110080040</v>
          </cell>
        </row>
        <row r="882">
          <cell r="G882" t="str">
            <v>07020110080040300</v>
          </cell>
        </row>
        <row r="883">
          <cell r="G883" t="str">
            <v>07020110080040340</v>
          </cell>
        </row>
        <row r="884">
          <cell r="G884" t="str">
            <v>0702011008П020</v>
          </cell>
        </row>
        <row r="885">
          <cell r="G885" t="str">
            <v>0702011008П020200</v>
          </cell>
        </row>
        <row r="886">
          <cell r="G886" t="str">
            <v>0702011008П020240</v>
          </cell>
        </row>
        <row r="887">
          <cell r="G887" t="str">
            <v>0702011008П020244</v>
          </cell>
        </row>
        <row r="888">
          <cell r="G888" t="str">
            <v>070201100S5630</v>
          </cell>
        </row>
        <row r="889">
          <cell r="G889" t="str">
            <v>070201100S5630200</v>
          </cell>
        </row>
        <row r="890">
          <cell r="G890" t="str">
            <v>070201100S5630240</v>
          </cell>
        </row>
        <row r="891">
          <cell r="G891" t="str">
            <v>070201100S5630244</v>
          </cell>
        </row>
        <row r="892">
          <cell r="G892" t="str">
            <v>070201100S5980</v>
          </cell>
        </row>
        <row r="893">
          <cell r="G893" t="str">
            <v>070201100S5980200</v>
          </cell>
        </row>
        <row r="894">
          <cell r="G894" t="str">
            <v>070201100S5980240</v>
          </cell>
        </row>
        <row r="895">
          <cell r="G895" t="str">
            <v>070201100S5980244</v>
          </cell>
        </row>
        <row r="896">
          <cell r="G896" t="str">
            <v>0702011E151690</v>
          </cell>
        </row>
        <row r="897">
          <cell r="G897" t="str">
            <v>0702011E151690200</v>
          </cell>
        </row>
        <row r="898">
          <cell r="G898" t="str">
            <v>0702011E151690240</v>
          </cell>
        </row>
        <row r="899">
          <cell r="G899" t="str">
            <v>0702011E151690244</v>
          </cell>
        </row>
        <row r="900">
          <cell r="G900" t="str">
            <v>07020300000000</v>
          </cell>
        </row>
        <row r="901">
          <cell r="G901" t="str">
            <v>07020340000000</v>
          </cell>
        </row>
        <row r="902">
          <cell r="G902" t="str">
            <v>07020340080000</v>
          </cell>
        </row>
        <row r="903">
          <cell r="G903" t="str">
            <v>07020340080000200</v>
          </cell>
        </row>
        <row r="904">
          <cell r="G904" t="str">
            <v>07020340080000240</v>
          </cell>
        </row>
        <row r="905">
          <cell r="G905" t="str">
            <v>07020340080000244</v>
          </cell>
        </row>
        <row r="906">
          <cell r="G906" t="str">
            <v>0703</v>
          </cell>
        </row>
        <row r="907">
          <cell r="G907" t="str">
            <v>07030100000000</v>
          </cell>
        </row>
        <row r="908">
          <cell r="G908" t="str">
            <v>07030110000000</v>
          </cell>
        </row>
        <row r="909">
          <cell r="G909" t="str">
            <v>07030110040030</v>
          </cell>
        </row>
        <row r="910">
          <cell r="G910" t="str">
            <v>07030110040030600</v>
          </cell>
        </row>
        <row r="911">
          <cell r="G911" t="str">
            <v>07030110040030610</v>
          </cell>
        </row>
        <row r="912">
          <cell r="G912" t="str">
            <v>07030110040030611</v>
          </cell>
        </row>
        <row r="913">
          <cell r="G913" t="str">
            <v>07030110040031</v>
          </cell>
        </row>
        <row r="914">
          <cell r="G914" t="str">
            <v>07030110040031600</v>
          </cell>
        </row>
        <row r="915">
          <cell r="G915" t="str">
            <v>07030110040031610</v>
          </cell>
        </row>
        <row r="916">
          <cell r="G916" t="str">
            <v>07030110040031611</v>
          </cell>
        </row>
        <row r="917">
          <cell r="G917" t="str">
            <v>07030110040032</v>
          </cell>
        </row>
        <row r="918">
          <cell r="G918" t="str">
            <v>07030110040032600</v>
          </cell>
        </row>
        <row r="919">
          <cell r="G919" t="str">
            <v>07030110040032610</v>
          </cell>
        </row>
        <row r="920">
          <cell r="G920" t="str">
            <v>07030110040032611</v>
          </cell>
        </row>
        <row r="921">
          <cell r="G921" t="str">
            <v>07030110040033</v>
          </cell>
        </row>
        <row r="922">
          <cell r="G922" t="str">
            <v>07030110040033600</v>
          </cell>
        </row>
        <row r="923">
          <cell r="G923" t="str">
            <v>07030110040033610</v>
          </cell>
        </row>
        <row r="924">
          <cell r="G924" t="str">
            <v>07030110040033611</v>
          </cell>
        </row>
        <row r="925">
          <cell r="G925" t="str">
            <v>07030110041030</v>
          </cell>
        </row>
        <row r="926">
          <cell r="G926" t="str">
            <v>07030110041030600</v>
          </cell>
        </row>
        <row r="927">
          <cell r="G927" t="str">
            <v>07030110041030610</v>
          </cell>
        </row>
        <row r="928">
          <cell r="G928" t="str">
            <v>07030110041030611</v>
          </cell>
        </row>
        <row r="929">
          <cell r="G929" t="str">
            <v>07030110042030</v>
          </cell>
        </row>
        <row r="930">
          <cell r="G930" t="str">
            <v>07030110042030600</v>
          </cell>
        </row>
        <row r="931">
          <cell r="G931" t="str">
            <v>07030110042030610</v>
          </cell>
        </row>
        <row r="932">
          <cell r="G932" t="str">
            <v>07030110042030611</v>
          </cell>
        </row>
        <row r="933">
          <cell r="G933" t="str">
            <v>07030110042030613</v>
          </cell>
        </row>
        <row r="934">
          <cell r="G934" t="str">
            <v>07030110045030</v>
          </cell>
        </row>
        <row r="935">
          <cell r="G935" t="str">
            <v>07030110045030600</v>
          </cell>
        </row>
        <row r="936">
          <cell r="G936" t="str">
            <v>07030110045030610</v>
          </cell>
        </row>
        <row r="937">
          <cell r="G937" t="str">
            <v>07030110045030611</v>
          </cell>
        </row>
        <row r="938">
          <cell r="G938" t="str">
            <v>07030110047030</v>
          </cell>
        </row>
        <row r="939">
          <cell r="G939" t="str">
            <v>07030110047030600</v>
          </cell>
        </row>
        <row r="940">
          <cell r="G940" t="str">
            <v>07030110047030610</v>
          </cell>
        </row>
        <row r="941">
          <cell r="G941" t="str">
            <v>07030110047030612</v>
          </cell>
        </row>
        <row r="942">
          <cell r="G942" t="str">
            <v>0703011004Г030</v>
          </cell>
        </row>
        <row r="943">
          <cell r="G943" t="str">
            <v>0703011004Г030600</v>
          </cell>
        </row>
        <row r="944">
          <cell r="G944" t="str">
            <v>0703011004Г030610</v>
          </cell>
        </row>
        <row r="945">
          <cell r="G945" t="str">
            <v>0703011004Г030611</v>
          </cell>
        </row>
        <row r="946">
          <cell r="G946" t="str">
            <v>0703011004М030</v>
          </cell>
        </row>
        <row r="947">
          <cell r="G947" t="str">
            <v>0703011004М030600</v>
          </cell>
        </row>
        <row r="948">
          <cell r="G948" t="str">
            <v>0703011004М030610</v>
          </cell>
        </row>
        <row r="949">
          <cell r="G949" t="str">
            <v>0703011004М030611</v>
          </cell>
        </row>
        <row r="950">
          <cell r="G950" t="str">
            <v>0703011004Э030</v>
          </cell>
        </row>
        <row r="951">
          <cell r="G951" t="str">
            <v>0703011004Э030600</v>
          </cell>
        </row>
        <row r="952">
          <cell r="G952" t="str">
            <v>0703011004Э030610</v>
          </cell>
        </row>
        <row r="953">
          <cell r="G953" t="str">
            <v>0703011004Э030611</v>
          </cell>
        </row>
        <row r="954">
          <cell r="G954" t="str">
            <v>07030110075640</v>
          </cell>
        </row>
        <row r="955">
          <cell r="G955" t="str">
            <v>07030110075640100</v>
          </cell>
        </row>
        <row r="956">
          <cell r="G956" t="str">
            <v>07030110075640110</v>
          </cell>
        </row>
        <row r="957">
          <cell r="G957" t="str">
            <v>07030110075640111</v>
          </cell>
        </row>
        <row r="958">
          <cell r="G958" t="str">
            <v>07030110075640119</v>
          </cell>
        </row>
        <row r="959">
          <cell r="G959" t="str">
            <v>07030110075640200</v>
          </cell>
        </row>
        <row r="960">
          <cell r="G960" t="str">
            <v>07030110075640240</v>
          </cell>
        </row>
        <row r="961">
          <cell r="G961" t="str">
            <v>07030110075640244</v>
          </cell>
        </row>
        <row r="962">
          <cell r="G962" t="str">
            <v>07030900000000</v>
          </cell>
        </row>
        <row r="963">
          <cell r="G963" t="str">
            <v>07030930000000</v>
          </cell>
        </row>
        <row r="964">
          <cell r="G964" t="str">
            <v>07030930080000</v>
          </cell>
        </row>
        <row r="965">
          <cell r="G965" t="str">
            <v>07030930080000600</v>
          </cell>
        </row>
        <row r="966">
          <cell r="G966" t="str">
            <v>07030930080000610</v>
          </cell>
        </row>
        <row r="967">
          <cell r="G967" t="str">
            <v>07030930080000612</v>
          </cell>
        </row>
        <row r="968">
          <cell r="G968" t="str">
            <v>0707</v>
          </cell>
        </row>
        <row r="969">
          <cell r="G969" t="str">
            <v>07070100000000</v>
          </cell>
        </row>
        <row r="970">
          <cell r="G970" t="str">
            <v>07070110000000</v>
          </cell>
        </row>
        <row r="971">
          <cell r="G971" t="str">
            <v>07070110040040</v>
          </cell>
        </row>
        <row r="972">
          <cell r="G972" t="str">
            <v>07070110040040600</v>
          </cell>
        </row>
        <row r="973">
          <cell r="G973" t="str">
            <v>07070110040040610</v>
          </cell>
        </row>
        <row r="974">
          <cell r="G974" t="str">
            <v>07070110040040611</v>
          </cell>
        </row>
        <row r="975">
          <cell r="G975" t="str">
            <v>07070110041040</v>
          </cell>
        </row>
        <row r="976">
          <cell r="G976" t="str">
            <v>07070110041040600</v>
          </cell>
        </row>
        <row r="977">
          <cell r="G977" t="str">
            <v>07070110041040610</v>
          </cell>
        </row>
        <row r="978">
          <cell r="G978" t="str">
            <v>07070110041040611</v>
          </cell>
        </row>
        <row r="979">
          <cell r="G979" t="str">
            <v>07070110047040</v>
          </cell>
        </row>
        <row r="980">
          <cell r="G980" t="str">
            <v>07070110047040600</v>
          </cell>
        </row>
        <row r="981">
          <cell r="G981" t="str">
            <v>07070110047040610</v>
          </cell>
        </row>
        <row r="982">
          <cell r="G982" t="str">
            <v>07070110047040612</v>
          </cell>
        </row>
        <row r="983">
          <cell r="G983" t="str">
            <v>0707011004Г040</v>
          </cell>
        </row>
        <row r="984">
          <cell r="G984" t="str">
            <v>0707011004Г040600</v>
          </cell>
        </row>
        <row r="985">
          <cell r="G985" t="str">
            <v>0707011004Г040610</v>
          </cell>
        </row>
        <row r="986">
          <cell r="G986" t="str">
            <v>0707011004Г040611</v>
          </cell>
        </row>
        <row r="987">
          <cell r="G987" t="str">
            <v>0707011004М040</v>
          </cell>
        </row>
        <row r="988">
          <cell r="G988" t="str">
            <v>0707011004М040600</v>
          </cell>
        </row>
        <row r="989">
          <cell r="G989" t="str">
            <v>0707011004М040610</v>
          </cell>
        </row>
        <row r="990">
          <cell r="G990" t="str">
            <v>0707011004М040611</v>
          </cell>
        </row>
        <row r="991">
          <cell r="G991" t="str">
            <v>0707011004Э040</v>
          </cell>
        </row>
        <row r="992">
          <cell r="G992" t="str">
            <v>0707011004Э040600</v>
          </cell>
        </row>
        <row r="993">
          <cell r="G993" t="str">
            <v>0707011004Э040610</v>
          </cell>
        </row>
        <row r="994">
          <cell r="G994" t="str">
            <v>0707011004Э040611</v>
          </cell>
        </row>
        <row r="995">
          <cell r="G995" t="str">
            <v>07070110076490</v>
          </cell>
        </row>
        <row r="996">
          <cell r="G996" t="str">
            <v>07070110076490200</v>
          </cell>
        </row>
        <row r="997">
          <cell r="G997" t="str">
            <v>07070110076490240</v>
          </cell>
        </row>
        <row r="998">
          <cell r="G998" t="str">
            <v>07070110076490244</v>
          </cell>
        </row>
        <row r="999">
          <cell r="G999" t="str">
            <v>07070110076490600</v>
          </cell>
        </row>
        <row r="1000">
          <cell r="G1000" t="str">
            <v>07070110076490610</v>
          </cell>
        </row>
        <row r="1001">
          <cell r="G1001" t="str">
            <v>07070110076490611</v>
          </cell>
        </row>
        <row r="1002">
          <cell r="G1002" t="str">
            <v>07070110080030</v>
          </cell>
        </row>
        <row r="1003">
          <cell r="G1003" t="str">
            <v>07070110080030200</v>
          </cell>
        </row>
        <row r="1004">
          <cell r="G1004" t="str">
            <v>07070110080030240</v>
          </cell>
        </row>
        <row r="1005">
          <cell r="G1005" t="str">
            <v>07070110080030244</v>
          </cell>
        </row>
        <row r="1006">
          <cell r="G1006" t="str">
            <v>07070110080030600</v>
          </cell>
        </row>
        <row r="1007">
          <cell r="G1007" t="str">
            <v>07070110080030610</v>
          </cell>
        </row>
        <row r="1008">
          <cell r="G1008" t="str">
            <v>07070110080030611</v>
          </cell>
        </row>
        <row r="1009">
          <cell r="G1009" t="str">
            <v>070701100S3970</v>
          </cell>
        </row>
        <row r="1010">
          <cell r="G1010" t="str">
            <v>070701100S3970600</v>
          </cell>
        </row>
        <row r="1011">
          <cell r="G1011" t="str">
            <v>070701100S3970610</v>
          </cell>
        </row>
        <row r="1012">
          <cell r="G1012" t="str">
            <v>070701100S3970611</v>
          </cell>
        </row>
        <row r="1013">
          <cell r="G1013" t="str">
            <v>07070130000000</v>
          </cell>
        </row>
        <row r="1014">
          <cell r="G1014" t="str">
            <v>07070130080030</v>
          </cell>
        </row>
        <row r="1015">
          <cell r="G1015" t="str">
            <v>07070130080030100</v>
          </cell>
        </row>
        <row r="1016">
          <cell r="G1016" t="str">
            <v>07070130080030110</v>
          </cell>
        </row>
        <row r="1017">
          <cell r="G1017" t="str">
            <v>07070130080030111</v>
          </cell>
        </row>
        <row r="1018">
          <cell r="G1018" t="str">
            <v>07070130080030119</v>
          </cell>
        </row>
        <row r="1019">
          <cell r="G1019" t="str">
            <v>07070130080030200</v>
          </cell>
        </row>
        <row r="1020">
          <cell r="G1020" t="str">
            <v>07070130080030240</v>
          </cell>
        </row>
        <row r="1021">
          <cell r="G1021" t="str">
            <v>07070130080030244</v>
          </cell>
        </row>
        <row r="1022">
          <cell r="G1022" t="str">
            <v>0707013008П030</v>
          </cell>
        </row>
        <row r="1023">
          <cell r="G1023" t="str">
            <v>0707013008П030200</v>
          </cell>
        </row>
        <row r="1024">
          <cell r="G1024" t="str">
            <v>0707013008П030240</v>
          </cell>
        </row>
        <row r="1025">
          <cell r="G1025" t="str">
            <v>0707013008П030244</v>
          </cell>
        </row>
        <row r="1026">
          <cell r="G1026" t="str">
            <v>0709</v>
          </cell>
        </row>
        <row r="1027">
          <cell r="G1027" t="str">
            <v>07090100000000</v>
          </cell>
        </row>
        <row r="1028">
          <cell r="G1028" t="str">
            <v>07090110000000</v>
          </cell>
        </row>
        <row r="1029">
          <cell r="G1029" t="str">
            <v>07090110080020</v>
          </cell>
        </row>
        <row r="1030">
          <cell r="G1030" t="str">
            <v>07090110080020200</v>
          </cell>
        </row>
        <row r="1031">
          <cell r="G1031" t="str">
            <v>07090110080020240</v>
          </cell>
        </row>
        <row r="1032">
          <cell r="G1032" t="str">
            <v>07090110080020244</v>
          </cell>
        </row>
        <row r="1033">
          <cell r="G1033" t="str">
            <v>07090120000000</v>
          </cell>
        </row>
        <row r="1034">
          <cell r="G1034" t="str">
            <v>07090120075520</v>
          </cell>
        </row>
        <row r="1035">
          <cell r="G1035" t="str">
            <v>07090120075520100</v>
          </cell>
        </row>
        <row r="1036">
          <cell r="G1036" t="str">
            <v>07090120075520120</v>
          </cell>
        </row>
        <row r="1037">
          <cell r="G1037" t="str">
            <v>07090120075520121</v>
          </cell>
        </row>
        <row r="1038">
          <cell r="G1038" t="str">
            <v>07090120075520122</v>
          </cell>
        </row>
        <row r="1039">
          <cell r="G1039" t="str">
            <v>07090120075520129</v>
          </cell>
        </row>
        <row r="1040">
          <cell r="G1040" t="str">
            <v>07090120075520200</v>
          </cell>
        </row>
        <row r="1041">
          <cell r="G1041" t="str">
            <v>07090120075520240</v>
          </cell>
        </row>
        <row r="1042">
          <cell r="G1042" t="str">
            <v>07090120075520244</v>
          </cell>
        </row>
        <row r="1043">
          <cell r="G1043" t="str">
            <v>07090130000000</v>
          </cell>
        </row>
        <row r="1044">
          <cell r="G1044" t="str">
            <v>07090130040000</v>
          </cell>
        </row>
        <row r="1045">
          <cell r="G1045" t="str">
            <v>07090130040000100</v>
          </cell>
        </row>
        <row r="1046">
          <cell r="G1046" t="str">
            <v>07090130040000110</v>
          </cell>
        </row>
        <row r="1047">
          <cell r="G1047" t="str">
            <v>07090130040000111</v>
          </cell>
        </row>
        <row r="1048">
          <cell r="G1048" t="str">
            <v>07090130040000112</v>
          </cell>
        </row>
        <row r="1049">
          <cell r="G1049" t="str">
            <v>07090130040000119</v>
          </cell>
        </row>
        <row r="1050">
          <cell r="G1050" t="str">
            <v>07090130040000200</v>
          </cell>
        </row>
        <row r="1051">
          <cell r="G1051" t="str">
            <v>07090130040000240</v>
          </cell>
        </row>
        <row r="1052">
          <cell r="G1052" t="str">
            <v>07090130040000244</v>
          </cell>
        </row>
        <row r="1053">
          <cell r="G1053" t="str">
            <v>07090130040050</v>
          </cell>
        </row>
        <row r="1054">
          <cell r="G1054" t="str">
            <v>07090130040050100</v>
          </cell>
        </row>
        <row r="1055">
          <cell r="G1055" t="str">
            <v>07090130040050110</v>
          </cell>
        </row>
        <row r="1056">
          <cell r="G1056" t="str">
            <v>07090130040050111</v>
          </cell>
        </row>
        <row r="1057">
          <cell r="G1057" t="str">
            <v>07090130040050119</v>
          </cell>
        </row>
        <row r="1058">
          <cell r="G1058" t="str">
            <v>07090130041000</v>
          </cell>
        </row>
        <row r="1059">
          <cell r="G1059" t="str">
            <v>07090130041000100</v>
          </cell>
        </row>
        <row r="1060">
          <cell r="G1060" t="str">
            <v>07090130041000110</v>
          </cell>
        </row>
        <row r="1061">
          <cell r="G1061" t="str">
            <v>07090130041000111</v>
          </cell>
        </row>
        <row r="1062">
          <cell r="G1062" t="str">
            <v>07090130041000119</v>
          </cell>
        </row>
        <row r="1063">
          <cell r="G1063" t="str">
            <v>07090130047000</v>
          </cell>
        </row>
        <row r="1064">
          <cell r="G1064" t="str">
            <v>07090130047000100</v>
          </cell>
        </row>
        <row r="1065">
          <cell r="G1065" t="str">
            <v>07090130047000110</v>
          </cell>
        </row>
        <row r="1066">
          <cell r="G1066" t="str">
            <v>07090130047000112</v>
          </cell>
        </row>
        <row r="1067">
          <cell r="G1067" t="str">
            <v>0709013004Г000</v>
          </cell>
        </row>
        <row r="1068">
          <cell r="G1068" t="str">
            <v>0709013004Г000200</v>
          </cell>
        </row>
        <row r="1069">
          <cell r="G1069" t="str">
            <v>0709013004Г000240</v>
          </cell>
        </row>
        <row r="1070">
          <cell r="G1070" t="str">
            <v>0709013004Г000244</v>
          </cell>
        </row>
        <row r="1071">
          <cell r="G1071" t="str">
            <v>0709013004М000</v>
          </cell>
        </row>
        <row r="1072">
          <cell r="G1072" t="str">
            <v>0709013004М000200</v>
          </cell>
        </row>
        <row r="1073">
          <cell r="G1073" t="str">
            <v>0709013004М000240</v>
          </cell>
        </row>
        <row r="1074">
          <cell r="G1074" t="str">
            <v>0709013004М000244</v>
          </cell>
        </row>
        <row r="1075">
          <cell r="G1075" t="str">
            <v>0709013004Э000</v>
          </cell>
        </row>
        <row r="1076">
          <cell r="G1076" t="str">
            <v>0709013004Э000200</v>
          </cell>
        </row>
        <row r="1077">
          <cell r="G1077" t="str">
            <v>0709013004Э000240</v>
          </cell>
        </row>
        <row r="1078">
          <cell r="G1078" t="str">
            <v>0709013004Э000247</v>
          </cell>
        </row>
        <row r="1079">
          <cell r="G1079" t="str">
            <v>07090130060000</v>
          </cell>
        </row>
        <row r="1080">
          <cell r="G1080" t="str">
            <v>07090130060000100</v>
          </cell>
        </row>
        <row r="1081">
          <cell r="G1081" t="str">
            <v>07090130060000120</v>
          </cell>
        </row>
        <row r="1082">
          <cell r="G1082" t="str">
            <v>07090130060000121</v>
          </cell>
        </row>
        <row r="1083">
          <cell r="G1083" t="str">
            <v>07090130060000122</v>
          </cell>
        </row>
        <row r="1084">
          <cell r="G1084" t="str">
            <v>07090130060000129</v>
          </cell>
        </row>
        <row r="1085">
          <cell r="G1085" t="str">
            <v>07090130060000200</v>
          </cell>
        </row>
        <row r="1086">
          <cell r="G1086" t="str">
            <v>07090130060000240</v>
          </cell>
        </row>
        <row r="1087">
          <cell r="G1087" t="str">
            <v>07090130060000244</v>
          </cell>
        </row>
        <row r="1088">
          <cell r="G1088" t="str">
            <v>07090130067000</v>
          </cell>
        </row>
        <row r="1089">
          <cell r="G1089" t="str">
            <v>07090130067000100</v>
          </cell>
        </row>
        <row r="1090">
          <cell r="G1090" t="str">
            <v>07090130067000120</v>
          </cell>
        </row>
        <row r="1091">
          <cell r="G1091" t="str">
            <v>07090130067000122</v>
          </cell>
        </row>
        <row r="1092">
          <cell r="G1092" t="str">
            <v>0709013006Э000</v>
          </cell>
        </row>
        <row r="1093">
          <cell r="G1093" t="str">
            <v>0709013006Э000200</v>
          </cell>
        </row>
        <row r="1094">
          <cell r="G1094" t="str">
            <v>0709013006Э000240</v>
          </cell>
        </row>
        <row r="1095">
          <cell r="G1095" t="str">
            <v>0709013006Э000247</v>
          </cell>
        </row>
        <row r="1096">
          <cell r="G1096" t="str">
            <v>1000</v>
          </cell>
        </row>
        <row r="1097">
          <cell r="G1097" t="str">
            <v>1003</v>
          </cell>
        </row>
        <row r="1098">
          <cell r="G1098" t="str">
            <v>10030100000000</v>
          </cell>
        </row>
        <row r="1099">
          <cell r="G1099" t="str">
            <v>10030110000000</v>
          </cell>
        </row>
        <row r="1100">
          <cell r="G1100" t="str">
            <v>10030110075540</v>
          </cell>
        </row>
        <row r="1101">
          <cell r="G1101" t="str">
            <v>10030110075540200</v>
          </cell>
        </row>
        <row r="1102">
          <cell r="G1102" t="str">
            <v>10030110075540240</v>
          </cell>
        </row>
        <row r="1103">
          <cell r="G1103" t="str">
            <v>10030110075540244</v>
          </cell>
        </row>
        <row r="1104">
          <cell r="G1104" t="str">
            <v>10030110075660</v>
          </cell>
        </row>
        <row r="1105">
          <cell r="G1105" t="str">
            <v>10030110075660200</v>
          </cell>
        </row>
        <row r="1106">
          <cell r="G1106" t="str">
            <v>10030110075660240</v>
          </cell>
        </row>
        <row r="1107">
          <cell r="G1107" t="str">
            <v>10030110075660244</v>
          </cell>
        </row>
        <row r="1108">
          <cell r="G1108" t="str">
            <v>10030110075660300</v>
          </cell>
        </row>
        <row r="1109">
          <cell r="G1109" t="str">
            <v>10030110075660320</v>
          </cell>
        </row>
        <row r="1110">
          <cell r="G1110" t="str">
            <v>10030110075660321</v>
          </cell>
        </row>
        <row r="1111">
          <cell r="G1111" t="str">
            <v>100301100L3040</v>
          </cell>
        </row>
        <row r="1112">
          <cell r="G1112" t="str">
            <v>100301100L3040200</v>
          </cell>
        </row>
        <row r="1113">
          <cell r="G1113" t="str">
            <v>100301100L3040240</v>
          </cell>
        </row>
        <row r="1114">
          <cell r="G1114" t="str">
            <v>100301100L3040244</v>
          </cell>
        </row>
        <row r="1115">
          <cell r="G1115" t="str">
            <v>1004</v>
          </cell>
        </row>
        <row r="1116">
          <cell r="G1116" t="str">
            <v>10040100000000</v>
          </cell>
        </row>
        <row r="1117">
          <cell r="G1117" t="str">
            <v>10040110000000</v>
          </cell>
        </row>
        <row r="1118">
          <cell r="G1118" t="str">
            <v>10040110075560</v>
          </cell>
        </row>
        <row r="1119">
          <cell r="G1119" t="str">
            <v>10040110075560200</v>
          </cell>
        </row>
        <row r="1120">
          <cell r="G1120" t="str">
            <v>10040110075560240</v>
          </cell>
        </row>
        <row r="1121">
          <cell r="G1121" t="str">
            <v>10040110075560244</v>
          </cell>
        </row>
        <row r="1122">
          <cell r="G1122" t="str">
            <v>10040110075560300</v>
          </cell>
        </row>
        <row r="1123">
          <cell r="G1123" t="str">
            <v>10040110075560320</v>
          </cell>
        </row>
        <row r="1124">
          <cell r="G1124" t="str">
            <v>10040110075560321</v>
          </cell>
        </row>
        <row r="1125">
          <cell r="G1125" t="str">
            <v>1100</v>
          </cell>
        </row>
        <row r="1126">
          <cell r="G1126" t="str">
            <v>1101</v>
          </cell>
        </row>
        <row r="1127">
          <cell r="G1127" t="str">
            <v>11010100000000</v>
          </cell>
        </row>
        <row r="1128">
          <cell r="G1128" t="str">
            <v>11010110000000</v>
          </cell>
        </row>
        <row r="1129">
          <cell r="G1129" t="str">
            <v>11010110040031</v>
          </cell>
        </row>
        <row r="1130">
          <cell r="G1130" t="str">
            <v>11010110040031600</v>
          </cell>
        </row>
        <row r="1131">
          <cell r="G1131" t="str">
            <v>11010110040031610</v>
          </cell>
        </row>
        <row r="1132">
          <cell r="G1132" t="str">
            <v>11010110040031611</v>
          </cell>
        </row>
        <row r="1133">
          <cell r="G1133" t="str">
            <v>1101011004Г030</v>
          </cell>
        </row>
        <row r="1134">
          <cell r="G1134" t="str">
            <v>1101011004Г030600</v>
          </cell>
        </row>
        <row r="1135">
          <cell r="G1135" t="str">
            <v>1101011004Г030610</v>
          </cell>
        </row>
        <row r="1136">
          <cell r="G1136" t="str">
            <v>1101011004Г030611</v>
          </cell>
        </row>
        <row r="1137">
          <cell r="G1137" t="str">
            <v>1101011004Э030</v>
          </cell>
        </row>
        <row r="1138">
          <cell r="G1138" t="str">
            <v>1101011004Э030600</v>
          </cell>
        </row>
        <row r="1139">
          <cell r="G1139" t="str">
            <v>1101011004Э030610</v>
          </cell>
        </row>
        <row r="1140">
          <cell r="G1140" t="str">
            <v>1101011004Э030611</v>
          </cell>
        </row>
        <row r="1141">
          <cell r="G1141" t="str">
            <v/>
          </cell>
        </row>
        <row r="1142">
          <cell r="G1142" t="str">
            <v>0300</v>
          </cell>
        </row>
        <row r="1143">
          <cell r="G1143" t="str">
            <v>0310</v>
          </cell>
        </row>
        <row r="1144">
          <cell r="G1144" t="str">
            <v>03100400000000</v>
          </cell>
        </row>
        <row r="1145">
          <cell r="G1145" t="str">
            <v>03100420000000</v>
          </cell>
        </row>
        <row r="1146">
          <cell r="G1146" t="str">
            <v>03100420040010</v>
          </cell>
        </row>
        <row r="1147">
          <cell r="G1147" t="str">
            <v>03100420040010100</v>
          </cell>
        </row>
        <row r="1148">
          <cell r="G1148" t="str">
            <v>03100420040010110</v>
          </cell>
        </row>
        <row r="1149">
          <cell r="G1149" t="str">
            <v>03100420040010111</v>
          </cell>
        </row>
        <row r="1150">
          <cell r="G1150" t="str">
            <v>03100420040010112</v>
          </cell>
        </row>
        <row r="1151">
          <cell r="G1151" t="str">
            <v>03100420040010119</v>
          </cell>
        </row>
        <row r="1152">
          <cell r="G1152" t="str">
            <v>03100420040010200</v>
          </cell>
        </row>
        <row r="1153">
          <cell r="G1153" t="str">
            <v>03100420040010240</v>
          </cell>
        </row>
        <row r="1154">
          <cell r="G1154" t="str">
            <v>03100420040010244</v>
          </cell>
        </row>
        <row r="1155">
          <cell r="G1155" t="str">
            <v>03100420041010</v>
          </cell>
        </row>
        <row r="1156">
          <cell r="G1156" t="str">
            <v>03100420041010100</v>
          </cell>
        </row>
        <row r="1157">
          <cell r="G1157" t="str">
            <v>03100420041010110</v>
          </cell>
        </row>
        <row r="1158">
          <cell r="G1158" t="str">
            <v>03100420041010111</v>
          </cell>
        </row>
        <row r="1159">
          <cell r="G1159" t="str">
            <v>03100420041010119</v>
          </cell>
        </row>
        <row r="1160">
          <cell r="G1160" t="str">
            <v>03100420047010</v>
          </cell>
        </row>
        <row r="1161">
          <cell r="G1161" t="str">
            <v>03100420047010100</v>
          </cell>
        </row>
        <row r="1162">
          <cell r="G1162" t="str">
            <v>03100420047010110</v>
          </cell>
        </row>
        <row r="1163">
          <cell r="G1163" t="str">
            <v>03100420047010112</v>
          </cell>
        </row>
        <row r="1164">
          <cell r="G1164" t="str">
            <v>0310042004Г010</v>
          </cell>
        </row>
        <row r="1165">
          <cell r="G1165" t="str">
            <v>0310042004Г010200</v>
          </cell>
        </row>
        <row r="1166">
          <cell r="G1166" t="str">
            <v>0310042004Г010240</v>
          </cell>
        </row>
        <row r="1167">
          <cell r="G1167" t="str">
            <v>0310042004Г010244</v>
          </cell>
        </row>
        <row r="1168">
          <cell r="G1168" t="str">
            <v>0310042004Г010247</v>
          </cell>
        </row>
        <row r="1169">
          <cell r="G1169" t="str">
            <v>0310042004М010</v>
          </cell>
        </row>
        <row r="1170">
          <cell r="G1170" t="str">
            <v>0310042004М010200</v>
          </cell>
        </row>
        <row r="1171">
          <cell r="G1171" t="str">
            <v>0310042004М010240</v>
          </cell>
        </row>
        <row r="1172">
          <cell r="G1172" t="str">
            <v>0310042004М010244</v>
          </cell>
        </row>
        <row r="1173">
          <cell r="G1173" t="str">
            <v>0310042004Ф010</v>
          </cell>
        </row>
        <row r="1174">
          <cell r="G1174" t="str">
            <v>0310042004Ф010200</v>
          </cell>
        </row>
        <row r="1175">
          <cell r="G1175" t="str">
            <v>0310042004Ф010240</v>
          </cell>
        </row>
        <row r="1176">
          <cell r="G1176" t="str">
            <v>0310042004Ф010244</v>
          </cell>
        </row>
        <row r="1177">
          <cell r="G1177" t="str">
            <v>0310042004Э010</v>
          </cell>
        </row>
        <row r="1178">
          <cell r="G1178" t="str">
            <v>0310042004Э010200</v>
          </cell>
        </row>
        <row r="1179">
          <cell r="G1179" t="str">
            <v>0310042004Э010240</v>
          </cell>
        </row>
        <row r="1180">
          <cell r="G1180" t="str">
            <v>0310042004Э010247</v>
          </cell>
        </row>
        <row r="1181">
          <cell r="G1181" t="str">
            <v>0500</v>
          </cell>
        </row>
        <row r="1182">
          <cell r="G1182" t="str">
            <v>0502</v>
          </cell>
        </row>
        <row r="1183">
          <cell r="G1183" t="str">
            <v>05020300000000</v>
          </cell>
        </row>
        <row r="1184">
          <cell r="G1184" t="str">
            <v>05020320000000</v>
          </cell>
        </row>
        <row r="1185">
          <cell r="G1185" t="str">
            <v>05020320075700</v>
          </cell>
        </row>
        <row r="1186">
          <cell r="G1186" t="str">
            <v>05020320075700100</v>
          </cell>
        </row>
        <row r="1187">
          <cell r="G1187" t="str">
            <v>05020320075700110</v>
          </cell>
        </row>
        <row r="1188">
          <cell r="G1188" t="str">
            <v>05020320075700111</v>
          </cell>
        </row>
        <row r="1189">
          <cell r="G1189" t="str">
            <v>05020320075700119</v>
          </cell>
        </row>
        <row r="1190">
          <cell r="G1190" t="str">
            <v>05020320075700200</v>
          </cell>
        </row>
        <row r="1191">
          <cell r="G1191" t="str">
            <v>05020320075700240</v>
          </cell>
        </row>
        <row r="1192">
          <cell r="G1192" t="str">
            <v>05020320075700244</v>
          </cell>
        </row>
        <row r="1193">
          <cell r="G1193" t="str">
            <v>05020320080090</v>
          </cell>
        </row>
        <row r="1194">
          <cell r="G1194" t="str">
            <v>05020320080090100</v>
          </cell>
        </row>
        <row r="1195">
          <cell r="G1195" t="str">
            <v>05020320080090110</v>
          </cell>
        </row>
        <row r="1196">
          <cell r="G1196" t="str">
            <v>05020320080090111</v>
          </cell>
        </row>
        <row r="1197">
          <cell r="G1197" t="str">
            <v>05020320080090112</v>
          </cell>
        </row>
        <row r="1198">
          <cell r="G1198" t="str">
            <v>05020320080090119</v>
          </cell>
        </row>
        <row r="1199">
          <cell r="G1199" t="str">
            <v>05020320080090200</v>
          </cell>
        </row>
        <row r="1200">
          <cell r="G1200" t="str">
            <v>05020320080090240</v>
          </cell>
        </row>
        <row r="1201">
          <cell r="G1201" t="str">
            <v>05020320080090244</v>
          </cell>
        </row>
        <row r="1202">
          <cell r="G1202" t="str">
            <v>05020320081090</v>
          </cell>
        </row>
        <row r="1203">
          <cell r="G1203" t="str">
            <v>05020320081090100</v>
          </cell>
        </row>
        <row r="1204">
          <cell r="G1204" t="str">
            <v>05020320081090110</v>
          </cell>
        </row>
        <row r="1205">
          <cell r="G1205" t="str">
            <v>05020320081090111</v>
          </cell>
        </row>
        <row r="1206">
          <cell r="G1206" t="str">
            <v>05020320081090119</v>
          </cell>
        </row>
        <row r="1207">
          <cell r="G1207" t="str">
            <v>05020320087090</v>
          </cell>
        </row>
        <row r="1208">
          <cell r="G1208" t="str">
            <v>05020320087090100</v>
          </cell>
        </row>
        <row r="1209">
          <cell r="G1209" t="str">
            <v>05020320087090110</v>
          </cell>
        </row>
        <row r="1210">
          <cell r="G1210" t="str">
            <v>05020320087090112</v>
          </cell>
        </row>
        <row r="1211">
          <cell r="G1211" t="str">
            <v>0502032008Г090</v>
          </cell>
        </row>
        <row r="1212">
          <cell r="G1212" t="str">
            <v>0502032008Г090200</v>
          </cell>
        </row>
        <row r="1213">
          <cell r="G1213" t="str">
            <v>0502032008Г090240</v>
          </cell>
        </row>
        <row r="1214">
          <cell r="G1214" t="str">
            <v>0502032008Г090244</v>
          </cell>
        </row>
        <row r="1215">
          <cell r="G1215" t="str">
            <v/>
          </cell>
        </row>
        <row r="1216">
          <cell r="G1216" t="str">
            <v>0100</v>
          </cell>
        </row>
        <row r="1217">
          <cell r="G1217" t="str">
            <v>0106</v>
          </cell>
        </row>
        <row r="1218">
          <cell r="G1218" t="str">
            <v>01061100000000</v>
          </cell>
        </row>
        <row r="1219">
          <cell r="G1219" t="str">
            <v>01061120000000</v>
          </cell>
        </row>
        <row r="1220">
          <cell r="G1220" t="str">
            <v>01061120060000</v>
          </cell>
        </row>
        <row r="1221">
          <cell r="G1221" t="str">
            <v>01061120060000100</v>
          </cell>
        </row>
        <row r="1222">
          <cell r="G1222" t="str">
            <v>01061120060000120</v>
          </cell>
        </row>
        <row r="1223">
          <cell r="G1223" t="str">
            <v>01061120060000121</v>
          </cell>
        </row>
        <row r="1224">
          <cell r="G1224" t="str">
            <v>01061120060000122</v>
          </cell>
        </row>
        <row r="1225">
          <cell r="G1225" t="str">
            <v>01061120060000129</v>
          </cell>
        </row>
        <row r="1226">
          <cell r="G1226" t="str">
            <v>01061120060000200</v>
          </cell>
        </row>
        <row r="1227">
          <cell r="G1227" t="str">
            <v>01061120060000240</v>
          </cell>
        </row>
        <row r="1228">
          <cell r="G1228" t="str">
            <v>01061120060000244</v>
          </cell>
        </row>
        <row r="1229">
          <cell r="G1229" t="str">
            <v>01061120060000800</v>
          </cell>
        </row>
        <row r="1230">
          <cell r="G1230" t="str">
            <v>01061120060000850</v>
          </cell>
        </row>
        <row r="1231">
          <cell r="G1231" t="str">
            <v>01061120060000853</v>
          </cell>
        </row>
        <row r="1232">
          <cell r="G1232" t="str">
            <v>01061120061000</v>
          </cell>
        </row>
        <row r="1233">
          <cell r="G1233" t="str">
            <v>01061120061000100</v>
          </cell>
        </row>
        <row r="1234">
          <cell r="G1234" t="str">
            <v>01061120061000120</v>
          </cell>
        </row>
        <row r="1235">
          <cell r="G1235" t="str">
            <v>01061120061000121</v>
          </cell>
        </row>
        <row r="1236">
          <cell r="G1236" t="str">
            <v>01061120061000129</v>
          </cell>
        </row>
        <row r="1237">
          <cell r="G1237" t="str">
            <v>01061120067000</v>
          </cell>
        </row>
        <row r="1238">
          <cell r="G1238" t="str">
            <v>01061120067000100</v>
          </cell>
        </row>
        <row r="1239">
          <cell r="G1239" t="str">
            <v>01061120067000120</v>
          </cell>
        </row>
        <row r="1240">
          <cell r="G1240" t="str">
            <v>01061120067000122</v>
          </cell>
        </row>
        <row r="1241">
          <cell r="G1241" t="str">
            <v>0106112006Б000</v>
          </cell>
        </row>
        <row r="1242">
          <cell r="G1242" t="str">
            <v>0106112006Б000100</v>
          </cell>
        </row>
        <row r="1243">
          <cell r="G1243" t="str">
            <v>0106112006Б000120</v>
          </cell>
        </row>
        <row r="1244">
          <cell r="G1244" t="str">
            <v>0106112006Б000121</v>
          </cell>
        </row>
        <row r="1245">
          <cell r="G1245" t="str">
            <v>0106112006Б000129</v>
          </cell>
        </row>
        <row r="1246">
          <cell r="G1246" t="str">
            <v>0106112006Г000</v>
          </cell>
        </row>
        <row r="1247">
          <cell r="G1247" t="str">
            <v>0106112006Г000200</v>
          </cell>
        </row>
        <row r="1248">
          <cell r="G1248" t="str">
            <v>0106112006Г000240</v>
          </cell>
        </row>
        <row r="1249">
          <cell r="G1249" t="str">
            <v>0106112006Г000244</v>
          </cell>
        </row>
        <row r="1250">
          <cell r="G1250" t="str">
            <v>0106112006Г000247</v>
          </cell>
        </row>
        <row r="1251">
          <cell r="G1251" t="str">
            <v>0106112006М000</v>
          </cell>
        </row>
        <row r="1252">
          <cell r="G1252" t="str">
            <v>0106112006М000200</v>
          </cell>
        </row>
        <row r="1253">
          <cell r="G1253" t="str">
            <v>0106112006М000240</v>
          </cell>
        </row>
        <row r="1254">
          <cell r="G1254" t="str">
            <v>0106112006М000244</v>
          </cell>
        </row>
        <row r="1255">
          <cell r="G1255" t="str">
            <v>0106112006Э000</v>
          </cell>
        </row>
        <row r="1256">
          <cell r="G1256" t="str">
            <v>0106112006Э000200</v>
          </cell>
        </row>
        <row r="1257">
          <cell r="G1257" t="str">
            <v>0106112006Э000240</v>
          </cell>
        </row>
        <row r="1258">
          <cell r="G1258" t="str">
            <v>0106112006Э000247</v>
          </cell>
        </row>
        <row r="1259">
          <cell r="G1259" t="str">
            <v>010611200Ч0060</v>
          </cell>
        </row>
        <row r="1260">
          <cell r="G1260" t="str">
            <v>010611200Ч0060100</v>
          </cell>
        </row>
        <row r="1261">
          <cell r="G1261" t="str">
            <v>010611200Ч0060120</v>
          </cell>
        </row>
        <row r="1262">
          <cell r="G1262" t="str">
            <v>010611200Ч0060121</v>
          </cell>
        </row>
        <row r="1263">
          <cell r="G1263" t="str">
            <v>010611200Ч0060129</v>
          </cell>
        </row>
        <row r="1264">
          <cell r="G1264" t="str">
            <v>010611200Ч0070</v>
          </cell>
        </row>
        <row r="1265">
          <cell r="G1265" t="str">
            <v>010611200Ч0070200</v>
          </cell>
        </row>
        <row r="1266">
          <cell r="G1266" t="str">
            <v>010611200Ч0070240</v>
          </cell>
        </row>
        <row r="1267">
          <cell r="G1267" t="str">
            <v>010611200Ч0070244</v>
          </cell>
        </row>
        <row r="1268">
          <cell r="G1268" t="str">
            <v>0111</v>
          </cell>
        </row>
        <row r="1269">
          <cell r="G1269" t="str">
            <v>01119000000000</v>
          </cell>
        </row>
        <row r="1270">
          <cell r="G1270" t="str">
            <v>01119010000000</v>
          </cell>
        </row>
        <row r="1271">
          <cell r="G1271" t="str">
            <v>01119010080000</v>
          </cell>
        </row>
        <row r="1272">
          <cell r="G1272" t="str">
            <v>01119010080000800</v>
          </cell>
        </row>
        <row r="1273">
          <cell r="G1273" t="str">
            <v>01119010080000870</v>
          </cell>
        </row>
        <row r="1274">
          <cell r="G1274" t="str">
            <v>0113</v>
          </cell>
        </row>
        <row r="1275">
          <cell r="G1275" t="str">
            <v>01131100000000</v>
          </cell>
        </row>
        <row r="1276">
          <cell r="G1276" t="str">
            <v>01131110000000</v>
          </cell>
        </row>
        <row r="1277">
          <cell r="G1277" t="str">
            <v>01131110075140</v>
          </cell>
        </row>
        <row r="1278">
          <cell r="G1278" t="str">
            <v>01131110075140500</v>
          </cell>
        </row>
        <row r="1279">
          <cell r="G1279" t="str">
            <v>01131110075140530</v>
          </cell>
        </row>
        <row r="1280">
          <cell r="G1280" t="str">
            <v>01139000000000</v>
          </cell>
        </row>
        <row r="1281">
          <cell r="G1281" t="str">
            <v>01139090000000</v>
          </cell>
        </row>
        <row r="1282">
          <cell r="G1282" t="str">
            <v>01139090080000</v>
          </cell>
        </row>
        <row r="1283">
          <cell r="G1283" t="str">
            <v>01139090080000800</v>
          </cell>
        </row>
        <row r="1284">
          <cell r="G1284" t="str">
            <v>01139090080000830</v>
          </cell>
        </row>
        <row r="1285">
          <cell r="G1285" t="str">
            <v>01139090080000831</v>
          </cell>
        </row>
        <row r="1286">
          <cell r="G1286" t="str">
            <v>01139090080000870</v>
          </cell>
        </row>
        <row r="1287">
          <cell r="G1287" t="str">
            <v>0200</v>
          </cell>
        </row>
        <row r="1288">
          <cell r="G1288" t="str">
            <v>0203</v>
          </cell>
        </row>
        <row r="1289">
          <cell r="G1289" t="str">
            <v>02031100000000</v>
          </cell>
        </row>
        <row r="1290">
          <cell r="G1290" t="str">
            <v>02031110000000</v>
          </cell>
        </row>
        <row r="1291">
          <cell r="G1291" t="str">
            <v>02031110051180</v>
          </cell>
        </row>
        <row r="1292">
          <cell r="G1292" t="str">
            <v>02031110051180500</v>
          </cell>
        </row>
        <row r="1293">
          <cell r="G1293" t="str">
            <v>02031110051180530</v>
          </cell>
        </row>
        <row r="1294">
          <cell r="G1294" t="str">
            <v>0400</v>
          </cell>
        </row>
        <row r="1295">
          <cell r="G1295" t="str">
            <v>0409</v>
          </cell>
        </row>
        <row r="1296">
          <cell r="G1296" t="str">
            <v>04090900000000</v>
          </cell>
        </row>
        <row r="1297">
          <cell r="G1297" t="str">
            <v>04090910000000</v>
          </cell>
        </row>
        <row r="1298">
          <cell r="G1298" t="str">
            <v>040909100Ч0030</v>
          </cell>
        </row>
        <row r="1299">
          <cell r="G1299" t="str">
            <v>040909100Ч0030500</v>
          </cell>
        </row>
        <row r="1300">
          <cell r="G1300" t="str">
            <v>040909100Ч0030540</v>
          </cell>
        </row>
        <row r="1301">
          <cell r="G1301" t="str">
            <v>0700</v>
          </cell>
        </row>
        <row r="1302">
          <cell r="G1302" t="str">
            <v>0707</v>
          </cell>
        </row>
        <row r="1303">
          <cell r="G1303" t="str">
            <v>07070600000000</v>
          </cell>
        </row>
        <row r="1304">
          <cell r="G1304" t="str">
            <v>07070610000000</v>
          </cell>
        </row>
        <row r="1305">
          <cell r="G1305" t="str">
            <v>070706100Ч0050</v>
          </cell>
        </row>
        <row r="1306">
          <cell r="G1306" t="str">
            <v>070706100Ч0050500</v>
          </cell>
        </row>
        <row r="1307">
          <cell r="G1307" t="str">
            <v>070706100Ч0050540</v>
          </cell>
        </row>
        <row r="1308">
          <cell r="G1308" t="str">
            <v>1400</v>
          </cell>
        </row>
        <row r="1309">
          <cell r="G1309" t="str">
            <v>1401</v>
          </cell>
        </row>
        <row r="1310">
          <cell r="G1310" t="str">
            <v>14011100000000</v>
          </cell>
        </row>
        <row r="1311">
          <cell r="G1311" t="str">
            <v>14011110000000</v>
          </cell>
        </row>
        <row r="1312">
          <cell r="G1312" t="str">
            <v>14011110076010</v>
          </cell>
        </row>
        <row r="1313">
          <cell r="G1313" t="str">
            <v>14011110076010500</v>
          </cell>
        </row>
        <row r="1314">
          <cell r="G1314" t="str">
            <v>14011110076010510</v>
          </cell>
        </row>
        <row r="1315">
          <cell r="G1315" t="str">
            <v>14011110076010511</v>
          </cell>
        </row>
        <row r="1316">
          <cell r="G1316" t="str">
            <v>14011110080130</v>
          </cell>
        </row>
        <row r="1317">
          <cell r="G1317" t="str">
            <v>14011110080130500</v>
          </cell>
        </row>
        <row r="1318">
          <cell r="G1318" t="str">
            <v>14011110080130510</v>
          </cell>
        </row>
        <row r="1319">
          <cell r="G1319" t="str">
            <v>14011110080130511</v>
          </cell>
        </row>
        <row r="1320">
          <cell r="G1320" t="str">
            <v>1403</v>
          </cell>
        </row>
        <row r="1321">
          <cell r="G1321" t="str">
            <v>14031100000000</v>
          </cell>
        </row>
        <row r="1322">
          <cell r="G1322" t="str">
            <v>14031110000000</v>
          </cell>
        </row>
        <row r="1323">
          <cell r="G1323" t="str">
            <v>14031110080120</v>
          </cell>
        </row>
        <row r="1324">
          <cell r="G1324" t="str">
            <v>14031110080120500</v>
          </cell>
        </row>
        <row r="1325">
          <cell r="G1325" t="str">
            <v>14031110080120540</v>
          </cell>
        </row>
      </sheetData>
      <sheetData sheetId="6">
        <row r="8">
          <cell r="F8">
            <v>7274170</v>
          </cell>
        </row>
        <row r="9">
          <cell r="F9">
            <v>7274170</v>
          </cell>
        </row>
        <row r="10">
          <cell r="F10">
            <v>7274170</v>
          </cell>
        </row>
        <row r="11">
          <cell r="F11">
            <v>7274170</v>
          </cell>
        </row>
        <row r="12">
          <cell r="F12">
            <v>3413923</v>
          </cell>
        </row>
        <row r="13">
          <cell r="F13">
            <v>3313923</v>
          </cell>
        </row>
        <row r="14">
          <cell r="F14">
            <v>2790173</v>
          </cell>
        </row>
        <row r="15">
          <cell r="F15">
            <v>2790173</v>
          </cell>
        </row>
        <row r="16">
          <cell r="F16">
            <v>2122637</v>
          </cell>
        </row>
        <row r="17">
          <cell r="F17">
            <v>26500</v>
          </cell>
        </row>
        <row r="18">
          <cell r="F18">
            <v>641036</v>
          </cell>
        </row>
        <row r="19">
          <cell r="F19">
            <v>523750</v>
          </cell>
        </row>
        <row r="20">
          <cell r="F20">
            <v>523750</v>
          </cell>
        </row>
        <row r="21">
          <cell r="F21">
            <v>523750</v>
          </cell>
        </row>
        <row r="22">
          <cell r="F22">
            <v>100000</v>
          </cell>
        </row>
        <row r="23">
          <cell r="F23">
            <v>100000</v>
          </cell>
        </row>
        <row r="24">
          <cell r="F24">
            <v>100000</v>
          </cell>
        </row>
        <row r="25">
          <cell r="F25">
            <v>100000</v>
          </cell>
        </row>
        <row r="26">
          <cell r="F26">
            <v>3860247</v>
          </cell>
        </row>
        <row r="27">
          <cell r="F27">
            <v>3810247</v>
          </cell>
        </row>
        <row r="28">
          <cell r="F28">
            <v>3810247</v>
          </cell>
        </row>
        <row r="29">
          <cell r="F29">
            <v>3810247</v>
          </cell>
        </row>
        <row r="30">
          <cell r="F30">
            <v>2694963</v>
          </cell>
        </row>
        <row r="31">
          <cell r="F31">
            <v>56200</v>
          </cell>
        </row>
        <row r="32">
          <cell r="F32">
            <v>264000</v>
          </cell>
        </row>
        <row r="33">
          <cell r="F33">
            <v>795084</v>
          </cell>
        </row>
        <row r="34">
          <cell r="F34">
            <v>50000</v>
          </cell>
        </row>
        <row r="35">
          <cell r="F35">
            <v>50000</v>
          </cell>
        </row>
        <row r="36">
          <cell r="F36">
            <v>50000</v>
          </cell>
        </row>
        <row r="37">
          <cell r="F37">
            <v>50000</v>
          </cell>
        </row>
        <row r="38">
          <cell r="F38">
            <v>2324622</v>
          </cell>
        </row>
        <row r="39">
          <cell r="F39">
            <v>2324622</v>
          </cell>
        </row>
        <row r="40">
          <cell r="F40">
            <v>2324622</v>
          </cell>
        </row>
        <row r="41">
          <cell r="F41">
            <v>2324622</v>
          </cell>
        </row>
        <row r="42">
          <cell r="F42">
            <v>1036176</v>
          </cell>
        </row>
        <row r="43">
          <cell r="F43">
            <v>996176</v>
          </cell>
        </row>
        <row r="44">
          <cell r="F44">
            <v>937424</v>
          </cell>
        </row>
        <row r="45">
          <cell r="F45">
            <v>937424</v>
          </cell>
        </row>
        <row r="46">
          <cell r="F46">
            <v>707545</v>
          </cell>
        </row>
        <row r="47">
          <cell r="F47">
            <v>16200</v>
          </cell>
        </row>
        <row r="48">
          <cell r="F48">
            <v>213679</v>
          </cell>
        </row>
        <row r="49">
          <cell r="F49">
            <v>58752</v>
          </cell>
        </row>
        <row r="50">
          <cell r="F50">
            <v>58752</v>
          </cell>
        </row>
        <row r="51">
          <cell r="F51">
            <v>58752</v>
          </cell>
        </row>
        <row r="52">
          <cell r="F52">
            <v>40000</v>
          </cell>
        </row>
        <row r="53">
          <cell r="F53">
            <v>40000</v>
          </cell>
        </row>
        <row r="54">
          <cell r="F54">
            <v>40000</v>
          </cell>
        </row>
        <row r="55">
          <cell r="F55">
            <v>40000</v>
          </cell>
        </row>
        <row r="56">
          <cell r="F56">
            <v>1288446</v>
          </cell>
        </row>
        <row r="57">
          <cell r="F57">
            <v>1248446</v>
          </cell>
        </row>
        <row r="58">
          <cell r="F58">
            <v>1248446</v>
          </cell>
        </row>
        <row r="59">
          <cell r="F59">
            <v>1248446</v>
          </cell>
        </row>
        <row r="60">
          <cell r="F60">
            <v>946426</v>
          </cell>
        </row>
        <row r="61">
          <cell r="F61">
            <v>302020</v>
          </cell>
        </row>
        <row r="62">
          <cell r="F62">
            <v>40000</v>
          </cell>
        </row>
        <row r="63">
          <cell r="F63">
            <v>40000</v>
          </cell>
        </row>
        <row r="64">
          <cell r="F64">
            <v>40000</v>
          </cell>
        </row>
        <row r="65">
          <cell r="F65">
            <v>40000</v>
          </cell>
        </row>
        <row r="66">
          <cell r="F66">
            <v>414021777</v>
          </cell>
        </row>
        <row r="67">
          <cell r="F67">
            <v>73557149.859999999</v>
          </cell>
        </row>
        <row r="68">
          <cell r="F68">
            <v>2544341</v>
          </cell>
        </row>
        <row r="69">
          <cell r="F69">
            <v>2544341</v>
          </cell>
        </row>
        <row r="70">
          <cell r="F70">
            <v>2544341</v>
          </cell>
        </row>
        <row r="71">
          <cell r="F71">
            <v>2469341</v>
          </cell>
        </row>
        <row r="72">
          <cell r="F72">
            <v>2469341</v>
          </cell>
        </row>
        <row r="73">
          <cell r="F73">
            <v>2469341</v>
          </cell>
        </row>
        <row r="74">
          <cell r="F74">
            <v>1880185</v>
          </cell>
        </row>
        <row r="75">
          <cell r="F75">
            <v>120000</v>
          </cell>
        </row>
        <row r="76">
          <cell r="F76">
            <v>469156</v>
          </cell>
        </row>
        <row r="77">
          <cell r="F77">
            <v>75000</v>
          </cell>
        </row>
        <row r="78">
          <cell r="F78">
            <v>75000</v>
          </cell>
        </row>
        <row r="79">
          <cell r="F79">
            <v>75000</v>
          </cell>
        </row>
        <row r="80">
          <cell r="F80">
            <v>75000</v>
          </cell>
        </row>
        <row r="81">
          <cell r="F81">
            <v>70411508.859999999</v>
          </cell>
        </row>
        <row r="82">
          <cell r="F82">
            <v>73395</v>
          </cell>
        </row>
        <row r="83">
          <cell r="F83">
            <v>73395</v>
          </cell>
        </row>
        <row r="84">
          <cell r="F84">
            <v>73395</v>
          </cell>
        </row>
        <row r="85">
          <cell r="F85">
            <v>73395</v>
          </cell>
        </row>
        <row r="86">
          <cell r="F86">
            <v>73395</v>
          </cell>
        </row>
        <row r="87">
          <cell r="F87">
            <v>73395</v>
          </cell>
        </row>
        <row r="88">
          <cell r="F88">
            <v>70338113.859999999</v>
          </cell>
        </row>
        <row r="89">
          <cell r="F89">
            <v>70338113.859999999</v>
          </cell>
        </row>
        <row r="90">
          <cell r="F90">
            <v>51413311.859999999</v>
          </cell>
        </row>
        <row r="91">
          <cell r="F91">
            <v>42808726</v>
          </cell>
        </row>
        <row r="92">
          <cell r="F92">
            <v>42808726</v>
          </cell>
        </row>
        <row r="93">
          <cell r="F93">
            <v>32547101</v>
          </cell>
        </row>
        <row r="94">
          <cell r="F94">
            <v>432400</v>
          </cell>
        </row>
        <row r="95">
          <cell r="F95">
            <v>9829225</v>
          </cell>
        </row>
        <row r="96">
          <cell r="F96">
            <v>8281773.8600000003</v>
          </cell>
        </row>
        <row r="97">
          <cell r="F97">
            <v>8281773.8600000003</v>
          </cell>
        </row>
        <row r="98">
          <cell r="F98">
            <v>8281773.8600000003</v>
          </cell>
        </row>
        <row r="99">
          <cell r="F99">
            <v>322812</v>
          </cell>
        </row>
        <row r="100">
          <cell r="F100">
            <v>322812</v>
          </cell>
        </row>
        <row r="101">
          <cell r="F101">
            <v>322812</v>
          </cell>
        </row>
        <row r="102">
          <cell r="F102">
            <v>1371860</v>
          </cell>
        </row>
        <row r="103">
          <cell r="F103">
            <v>1371860</v>
          </cell>
        </row>
        <row r="104">
          <cell r="F104">
            <v>1371860</v>
          </cell>
        </row>
        <row r="105">
          <cell r="F105">
            <v>1053656</v>
          </cell>
        </row>
        <row r="106">
          <cell r="F106">
            <v>318204</v>
          </cell>
        </row>
        <row r="107">
          <cell r="F107">
            <v>332000</v>
          </cell>
        </row>
        <row r="108">
          <cell r="F108">
            <v>332000</v>
          </cell>
        </row>
        <row r="109">
          <cell r="F109">
            <v>332000</v>
          </cell>
        </row>
        <row r="110">
          <cell r="F110">
            <v>332000</v>
          </cell>
        </row>
        <row r="111">
          <cell r="F111">
            <v>8288772</v>
          </cell>
        </row>
        <row r="112">
          <cell r="F112">
            <v>8288772</v>
          </cell>
        </row>
        <row r="113">
          <cell r="F113">
            <v>8288772</v>
          </cell>
        </row>
        <row r="114">
          <cell r="F114">
            <v>6366185</v>
          </cell>
        </row>
        <row r="115">
          <cell r="F115">
            <v>1922587</v>
          </cell>
        </row>
        <row r="116">
          <cell r="F116">
            <v>4330205</v>
          </cell>
        </row>
        <row r="117">
          <cell r="F117">
            <v>4330205</v>
          </cell>
        </row>
        <row r="118">
          <cell r="F118">
            <v>4330205</v>
          </cell>
        </row>
        <row r="119">
          <cell r="F119">
            <v>154460</v>
          </cell>
        </row>
        <row r="120">
          <cell r="F120">
            <v>4175745</v>
          </cell>
        </row>
        <row r="121">
          <cell r="F121">
            <v>265731</v>
          </cell>
        </row>
        <row r="122">
          <cell r="F122">
            <v>265731</v>
          </cell>
        </row>
        <row r="123">
          <cell r="F123">
            <v>265731</v>
          </cell>
        </row>
        <row r="124">
          <cell r="F124">
            <v>265731</v>
          </cell>
        </row>
        <row r="125">
          <cell r="F125">
            <v>1029064</v>
          </cell>
        </row>
        <row r="126">
          <cell r="F126">
            <v>1029064</v>
          </cell>
        </row>
        <row r="127">
          <cell r="F127">
            <v>1029064</v>
          </cell>
        </row>
        <row r="128">
          <cell r="F128">
            <v>1029064</v>
          </cell>
        </row>
        <row r="129">
          <cell r="F129">
            <v>828000</v>
          </cell>
        </row>
        <row r="130">
          <cell r="F130">
            <v>796200</v>
          </cell>
        </row>
        <row r="131">
          <cell r="F131">
            <v>796200</v>
          </cell>
        </row>
        <row r="132">
          <cell r="F132">
            <v>596787</v>
          </cell>
        </row>
        <row r="133">
          <cell r="F133">
            <v>19200</v>
          </cell>
        </row>
        <row r="134">
          <cell r="F134">
            <v>180213</v>
          </cell>
        </row>
        <row r="135">
          <cell r="F135">
            <v>31800</v>
          </cell>
        </row>
        <row r="136">
          <cell r="F136">
            <v>31800</v>
          </cell>
        </row>
        <row r="137">
          <cell r="F137">
            <v>31800</v>
          </cell>
        </row>
        <row r="138">
          <cell r="F138">
            <v>1624300</v>
          </cell>
        </row>
        <row r="139">
          <cell r="F139">
            <v>1579300</v>
          </cell>
        </row>
        <row r="140">
          <cell r="F140">
            <v>1579300</v>
          </cell>
        </row>
        <row r="141">
          <cell r="F141">
            <v>1193780</v>
          </cell>
        </row>
        <row r="142">
          <cell r="F142">
            <v>25000</v>
          </cell>
        </row>
        <row r="143">
          <cell r="F143">
            <v>360520</v>
          </cell>
        </row>
        <row r="144">
          <cell r="F144">
            <v>45000</v>
          </cell>
        </row>
        <row r="145">
          <cell r="F145">
            <v>45000</v>
          </cell>
        </row>
        <row r="146">
          <cell r="F146">
            <v>45000</v>
          </cell>
        </row>
        <row r="147">
          <cell r="F147">
            <v>854870</v>
          </cell>
        </row>
        <row r="148">
          <cell r="F148">
            <v>854870</v>
          </cell>
        </row>
        <row r="149">
          <cell r="F149">
            <v>854870</v>
          </cell>
        </row>
        <row r="150">
          <cell r="F150">
            <v>656582</v>
          </cell>
        </row>
        <row r="151">
          <cell r="F151">
            <v>198288</v>
          </cell>
        </row>
        <row r="152">
          <cell r="F152">
            <v>7900</v>
          </cell>
        </row>
        <row r="153">
          <cell r="F153">
            <v>7900</v>
          </cell>
        </row>
        <row r="154">
          <cell r="F154">
            <v>7900</v>
          </cell>
        </row>
        <row r="155">
          <cell r="F155">
            <v>7900</v>
          </cell>
        </row>
        <row r="156">
          <cell r="F156">
            <v>7900</v>
          </cell>
        </row>
        <row r="157">
          <cell r="F157">
            <v>7900</v>
          </cell>
        </row>
        <row r="158">
          <cell r="F158">
            <v>7900</v>
          </cell>
        </row>
        <row r="159">
          <cell r="F159">
            <v>593400</v>
          </cell>
        </row>
        <row r="160">
          <cell r="F160">
            <v>215000</v>
          </cell>
        </row>
        <row r="161">
          <cell r="F161">
            <v>215000</v>
          </cell>
        </row>
        <row r="162">
          <cell r="F162">
            <v>65000</v>
          </cell>
        </row>
        <row r="163">
          <cell r="F163">
            <v>65000</v>
          </cell>
        </row>
        <row r="164">
          <cell r="F164">
            <v>65000</v>
          </cell>
        </row>
        <row r="165">
          <cell r="F165">
            <v>65000</v>
          </cell>
        </row>
        <row r="166">
          <cell r="F166">
            <v>150000</v>
          </cell>
        </row>
        <row r="167">
          <cell r="F167">
            <v>150000</v>
          </cell>
        </row>
        <row r="168">
          <cell r="F168">
            <v>150000</v>
          </cell>
        </row>
        <row r="169">
          <cell r="F169">
            <v>150000</v>
          </cell>
        </row>
        <row r="170">
          <cell r="F170">
            <v>318400</v>
          </cell>
        </row>
        <row r="171">
          <cell r="F171">
            <v>318400</v>
          </cell>
        </row>
        <row r="172">
          <cell r="F172">
            <v>81000</v>
          </cell>
        </row>
        <row r="173">
          <cell r="F173">
            <v>77700</v>
          </cell>
        </row>
        <row r="174">
          <cell r="F174">
            <v>77700</v>
          </cell>
        </row>
        <row r="175">
          <cell r="F175">
            <v>59689</v>
          </cell>
        </row>
        <row r="176">
          <cell r="F176">
            <v>18011</v>
          </cell>
        </row>
        <row r="177">
          <cell r="F177">
            <v>3300</v>
          </cell>
        </row>
        <row r="178">
          <cell r="F178">
            <v>3300</v>
          </cell>
        </row>
        <row r="179">
          <cell r="F179">
            <v>3300</v>
          </cell>
        </row>
        <row r="180">
          <cell r="F180">
            <v>131900</v>
          </cell>
        </row>
        <row r="181">
          <cell r="F181">
            <v>109547</v>
          </cell>
        </row>
        <row r="182">
          <cell r="F182">
            <v>109547</v>
          </cell>
        </row>
        <row r="183">
          <cell r="F183">
            <v>84137</v>
          </cell>
        </row>
        <row r="184">
          <cell r="F184">
            <v>25410</v>
          </cell>
        </row>
        <row r="185">
          <cell r="F185">
            <v>22353</v>
          </cell>
        </row>
        <row r="186">
          <cell r="F186">
            <v>22353</v>
          </cell>
        </row>
        <row r="187">
          <cell r="F187">
            <v>22353</v>
          </cell>
        </row>
        <row r="188">
          <cell r="F188">
            <v>105500</v>
          </cell>
        </row>
        <row r="189">
          <cell r="F189">
            <v>102600</v>
          </cell>
        </row>
        <row r="190">
          <cell r="F190">
            <v>102600</v>
          </cell>
        </row>
        <row r="191">
          <cell r="F191">
            <v>78801</v>
          </cell>
        </row>
        <row r="192">
          <cell r="F192">
            <v>23799</v>
          </cell>
        </row>
        <row r="193">
          <cell r="F193">
            <v>2900</v>
          </cell>
        </row>
        <row r="194">
          <cell r="F194">
            <v>2900</v>
          </cell>
        </row>
        <row r="195">
          <cell r="F195">
            <v>2900</v>
          </cell>
        </row>
        <row r="196">
          <cell r="F196">
            <v>60000</v>
          </cell>
        </row>
        <row r="197">
          <cell r="F197">
            <v>60000</v>
          </cell>
        </row>
        <row r="198">
          <cell r="F198">
            <v>60000</v>
          </cell>
        </row>
        <row r="199">
          <cell r="F199">
            <v>60000</v>
          </cell>
        </row>
        <row r="200">
          <cell r="F200">
            <v>60000</v>
          </cell>
        </row>
        <row r="201">
          <cell r="F201">
            <v>7593470.1399999997</v>
          </cell>
        </row>
        <row r="202">
          <cell r="F202">
            <v>5893470.1399999997</v>
          </cell>
        </row>
        <row r="203">
          <cell r="F203">
            <v>5893470.1399999997</v>
          </cell>
        </row>
        <row r="204">
          <cell r="F204">
            <v>5688522.1399999997</v>
          </cell>
        </row>
        <row r="205">
          <cell r="F205">
            <v>5346382</v>
          </cell>
        </row>
        <row r="206">
          <cell r="F206">
            <v>5336382</v>
          </cell>
        </row>
        <row r="207">
          <cell r="F207">
            <v>5336382</v>
          </cell>
        </row>
        <row r="208">
          <cell r="F208">
            <v>4098604</v>
          </cell>
        </row>
        <row r="209">
          <cell r="F209">
            <v>1237778</v>
          </cell>
        </row>
        <row r="210">
          <cell r="F210">
            <v>10000</v>
          </cell>
        </row>
        <row r="211">
          <cell r="F211">
            <v>10000</v>
          </cell>
        </row>
        <row r="212">
          <cell r="F212">
            <v>10000</v>
          </cell>
        </row>
        <row r="213">
          <cell r="F213">
            <v>30000</v>
          </cell>
        </row>
        <row r="214">
          <cell r="F214">
            <v>30000</v>
          </cell>
        </row>
        <row r="215">
          <cell r="F215">
            <v>30000</v>
          </cell>
        </row>
        <row r="216">
          <cell r="F216">
            <v>30000</v>
          </cell>
        </row>
        <row r="217">
          <cell r="F217">
            <v>22000</v>
          </cell>
        </row>
        <row r="218">
          <cell r="F218">
            <v>22000</v>
          </cell>
        </row>
        <row r="219">
          <cell r="F219">
            <v>22000</v>
          </cell>
        </row>
        <row r="220">
          <cell r="F220">
            <v>22000</v>
          </cell>
        </row>
        <row r="221">
          <cell r="F221">
            <v>150000</v>
          </cell>
        </row>
        <row r="222">
          <cell r="F222">
            <v>150000</v>
          </cell>
        </row>
        <row r="223">
          <cell r="F223">
            <v>150000</v>
          </cell>
        </row>
        <row r="224">
          <cell r="F224">
            <v>150000</v>
          </cell>
        </row>
        <row r="225">
          <cell r="F225">
            <v>140140.14000000001</v>
          </cell>
        </row>
        <row r="226">
          <cell r="F226">
            <v>140140.14000000001</v>
          </cell>
        </row>
        <row r="227">
          <cell r="F227">
            <v>140140.14000000001</v>
          </cell>
        </row>
        <row r="228">
          <cell r="F228">
            <v>140140.14000000001</v>
          </cell>
        </row>
        <row r="229">
          <cell r="F229">
            <v>204948</v>
          </cell>
        </row>
        <row r="230">
          <cell r="F230">
            <v>150000</v>
          </cell>
        </row>
        <row r="231">
          <cell r="F231">
            <v>150000</v>
          </cell>
        </row>
        <row r="232">
          <cell r="F232">
            <v>150000</v>
          </cell>
        </row>
        <row r="233">
          <cell r="F233">
            <v>150000</v>
          </cell>
        </row>
        <row r="234">
          <cell r="F234">
            <v>54500</v>
          </cell>
        </row>
        <row r="235">
          <cell r="F235">
            <v>54500</v>
          </cell>
        </row>
        <row r="236">
          <cell r="F236">
            <v>54500</v>
          </cell>
        </row>
        <row r="237">
          <cell r="F237">
            <v>54500</v>
          </cell>
        </row>
        <row r="238">
          <cell r="F238">
            <v>448</v>
          </cell>
        </row>
        <row r="239">
          <cell r="F239">
            <v>448</v>
          </cell>
        </row>
        <row r="240">
          <cell r="F240">
            <v>448</v>
          </cell>
        </row>
        <row r="241">
          <cell r="F241">
            <v>448</v>
          </cell>
        </row>
        <row r="242">
          <cell r="F242">
            <v>1700000</v>
          </cell>
        </row>
        <row r="243">
          <cell r="F243">
            <v>1700000</v>
          </cell>
        </row>
        <row r="244">
          <cell r="F244">
            <v>1700000</v>
          </cell>
        </row>
        <row r="245">
          <cell r="F245">
            <v>1700000</v>
          </cell>
        </row>
        <row r="246">
          <cell r="F246">
            <v>1700000</v>
          </cell>
        </row>
        <row r="247">
          <cell r="F247">
            <v>1700000</v>
          </cell>
        </row>
        <row r="248">
          <cell r="F248">
            <v>1700000</v>
          </cell>
        </row>
        <row r="249">
          <cell r="F249">
            <v>87497000</v>
          </cell>
        </row>
        <row r="250">
          <cell r="F250">
            <v>1752200</v>
          </cell>
        </row>
        <row r="251">
          <cell r="F251">
            <v>1752200</v>
          </cell>
        </row>
        <row r="252">
          <cell r="F252">
            <v>10000</v>
          </cell>
        </row>
        <row r="253">
          <cell r="F253">
            <v>10000</v>
          </cell>
        </row>
        <row r="254">
          <cell r="F254">
            <v>10000</v>
          </cell>
        </row>
        <row r="255">
          <cell r="F255">
            <v>10000</v>
          </cell>
        </row>
        <row r="256">
          <cell r="F256">
            <v>10000</v>
          </cell>
        </row>
        <row r="257">
          <cell r="F257">
            <v>1742200</v>
          </cell>
        </row>
        <row r="258">
          <cell r="F258">
            <v>1742200</v>
          </cell>
        </row>
        <row r="259">
          <cell r="F259">
            <v>1688700</v>
          </cell>
        </row>
        <row r="260">
          <cell r="F260">
            <v>1688700</v>
          </cell>
        </row>
        <row r="261">
          <cell r="F261">
            <v>1193785</v>
          </cell>
        </row>
        <row r="262">
          <cell r="F262">
            <v>134400</v>
          </cell>
        </row>
        <row r="263">
          <cell r="F263">
            <v>360515</v>
          </cell>
        </row>
        <row r="264">
          <cell r="F264">
            <v>53500</v>
          </cell>
        </row>
        <row r="265">
          <cell r="F265">
            <v>53500</v>
          </cell>
        </row>
        <row r="266">
          <cell r="F266">
            <v>53500</v>
          </cell>
        </row>
        <row r="267">
          <cell r="F267">
            <v>1887000</v>
          </cell>
        </row>
        <row r="268">
          <cell r="F268">
            <v>1887000</v>
          </cell>
        </row>
        <row r="269">
          <cell r="F269">
            <v>1887000</v>
          </cell>
        </row>
        <row r="270">
          <cell r="F270">
            <v>1887000</v>
          </cell>
        </row>
        <row r="271">
          <cell r="F271">
            <v>1847000</v>
          </cell>
        </row>
        <row r="272">
          <cell r="F272">
            <v>1847000</v>
          </cell>
        </row>
        <row r="273">
          <cell r="F273">
            <v>1286447</v>
          </cell>
        </row>
        <row r="274">
          <cell r="F274">
            <v>172000</v>
          </cell>
        </row>
        <row r="275">
          <cell r="F275">
            <v>388553</v>
          </cell>
        </row>
        <row r="276">
          <cell r="F276">
            <v>40000</v>
          </cell>
        </row>
        <row r="277">
          <cell r="F277">
            <v>40000</v>
          </cell>
        </row>
        <row r="278">
          <cell r="F278">
            <v>40000</v>
          </cell>
        </row>
        <row r="279">
          <cell r="F279">
            <v>54406400</v>
          </cell>
        </row>
        <row r="280">
          <cell r="F280">
            <v>54406400</v>
          </cell>
        </row>
        <row r="281">
          <cell r="F281">
            <v>54406400</v>
          </cell>
        </row>
        <row r="282">
          <cell r="F282">
            <v>406400</v>
          </cell>
        </row>
        <row r="283">
          <cell r="F283">
            <v>406400</v>
          </cell>
        </row>
        <row r="284">
          <cell r="F284">
            <v>406400</v>
          </cell>
        </row>
        <row r="285">
          <cell r="F285">
            <v>406400</v>
          </cell>
        </row>
        <row r="286">
          <cell r="F286">
            <v>54000000</v>
          </cell>
        </row>
        <row r="287">
          <cell r="F287">
            <v>54000000</v>
          </cell>
        </row>
        <row r="288">
          <cell r="F288">
            <v>54000000</v>
          </cell>
        </row>
        <row r="289">
          <cell r="F289">
            <v>54000000</v>
          </cell>
        </row>
        <row r="290">
          <cell r="F290">
            <v>26768400</v>
          </cell>
        </row>
        <row r="291">
          <cell r="F291">
            <v>26768400</v>
          </cell>
        </row>
        <row r="292">
          <cell r="F292">
            <v>26409500</v>
          </cell>
        </row>
        <row r="293">
          <cell r="F293">
            <v>153050</v>
          </cell>
        </row>
        <row r="294">
          <cell r="F294">
            <v>153050</v>
          </cell>
        </row>
        <row r="295">
          <cell r="F295">
            <v>153050</v>
          </cell>
        </row>
        <row r="296">
          <cell r="F296">
            <v>153050</v>
          </cell>
        </row>
        <row r="297">
          <cell r="F297">
            <v>26256450</v>
          </cell>
        </row>
        <row r="298">
          <cell r="F298">
            <v>26256450</v>
          </cell>
        </row>
        <row r="299">
          <cell r="F299">
            <v>26256450</v>
          </cell>
        </row>
        <row r="300">
          <cell r="F300">
            <v>26256450</v>
          </cell>
        </row>
        <row r="301">
          <cell r="F301">
            <v>358900</v>
          </cell>
        </row>
        <row r="302">
          <cell r="F302">
            <v>358900</v>
          </cell>
        </row>
        <row r="303">
          <cell r="F303">
            <v>358900</v>
          </cell>
        </row>
        <row r="304">
          <cell r="F304">
            <v>358900</v>
          </cell>
        </row>
        <row r="305">
          <cell r="F305">
            <v>358900</v>
          </cell>
        </row>
        <row r="306">
          <cell r="F306">
            <v>2683000</v>
          </cell>
        </row>
        <row r="307">
          <cell r="F307">
            <v>2590000</v>
          </cell>
        </row>
        <row r="308">
          <cell r="F308">
            <v>2587000</v>
          </cell>
        </row>
        <row r="309">
          <cell r="F309">
            <v>10000</v>
          </cell>
        </row>
        <row r="310">
          <cell r="F310">
            <v>10000</v>
          </cell>
        </row>
        <row r="311">
          <cell r="F311">
            <v>10000</v>
          </cell>
        </row>
        <row r="312">
          <cell r="F312">
            <v>10000</v>
          </cell>
        </row>
        <row r="313">
          <cell r="F313">
            <v>2577000</v>
          </cell>
        </row>
        <row r="314">
          <cell r="F314">
            <v>2577000</v>
          </cell>
        </row>
        <row r="315">
          <cell r="F315">
            <v>2577000</v>
          </cell>
        </row>
        <row r="316">
          <cell r="F316">
            <v>2577000</v>
          </cell>
        </row>
        <row r="317">
          <cell r="F317">
            <v>3000</v>
          </cell>
        </row>
        <row r="318">
          <cell r="F318">
            <v>3000</v>
          </cell>
        </row>
        <row r="319">
          <cell r="F319">
            <v>3000</v>
          </cell>
        </row>
        <row r="320">
          <cell r="F320">
            <v>3000</v>
          </cell>
        </row>
        <row r="321">
          <cell r="F321">
            <v>3000</v>
          </cell>
        </row>
        <row r="322">
          <cell r="F322">
            <v>93000</v>
          </cell>
        </row>
        <row r="323">
          <cell r="F323">
            <v>93000</v>
          </cell>
        </row>
        <row r="324">
          <cell r="F324">
            <v>93000</v>
          </cell>
        </row>
        <row r="325">
          <cell r="F325">
            <v>93000</v>
          </cell>
        </row>
        <row r="326">
          <cell r="F326">
            <v>93000</v>
          </cell>
        </row>
        <row r="327">
          <cell r="F327">
            <v>93000</v>
          </cell>
        </row>
        <row r="328">
          <cell r="F328">
            <v>243526757</v>
          </cell>
        </row>
        <row r="329">
          <cell r="F329">
            <v>243526757</v>
          </cell>
        </row>
        <row r="330">
          <cell r="F330">
            <v>243471800</v>
          </cell>
        </row>
        <row r="331">
          <cell r="F331">
            <v>243471800</v>
          </cell>
        </row>
        <row r="332">
          <cell r="F332">
            <v>226371300</v>
          </cell>
        </row>
        <row r="333">
          <cell r="F333">
            <v>226371300</v>
          </cell>
        </row>
        <row r="334">
          <cell r="F334">
            <v>226371300</v>
          </cell>
        </row>
        <row r="335">
          <cell r="F335">
            <v>226371300</v>
          </cell>
        </row>
        <row r="336">
          <cell r="F336">
            <v>17100500</v>
          </cell>
        </row>
        <row r="337">
          <cell r="F337">
            <v>17100500</v>
          </cell>
        </row>
        <row r="338">
          <cell r="F338">
            <v>17100500</v>
          </cell>
        </row>
        <row r="339">
          <cell r="F339">
            <v>17100500</v>
          </cell>
        </row>
        <row r="340">
          <cell r="F340">
            <v>54957</v>
          </cell>
        </row>
        <row r="341">
          <cell r="F341">
            <v>54957</v>
          </cell>
        </row>
        <row r="342">
          <cell r="F342">
            <v>54957</v>
          </cell>
        </row>
        <row r="343">
          <cell r="F343">
            <v>54957</v>
          </cell>
        </row>
        <row r="344">
          <cell r="F344">
            <v>54957</v>
          </cell>
        </row>
        <row r="345">
          <cell r="F345">
            <v>54957</v>
          </cell>
        </row>
        <row r="346">
          <cell r="F346">
            <v>786000</v>
          </cell>
        </row>
        <row r="347">
          <cell r="F347">
            <v>786000</v>
          </cell>
        </row>
        <row r="348">
          <cell r="F348">
            <v>786000</v>
          </cell>
        </row>
        <row r="349">
          <cell r="F349">
            <v>786000</v>
          </cell>
        </row>
        <row r="350">
          <cell r="F350">
            <v>786000</v>
          </cell>
        </row>
        <row r="351">
          <cell r="F351">
            <v>77700</v>
          </cell>
        </row>
        <row r="352">
          <cell r="F352">
            <v>77700</v>
          </cell>
        </row>
        <row r="353">
          <cell r="F353">
            <v>59689</v>
          </cell>
        </row>
        <row r="354">
          <cell r="F354">
            <v>18011</v>
          </cell>
        </row>
        <row r="355">
          <cell r="F355">
            <v>708300</v>
          </cell>
        </row>
        <row r="356">
          <cell r="F356">
            <v>708300</v>
          </cell>
        </row>
        <row r="357">
          <cell r="F357">
            <v>708300</v>
          </cell>
        </row>
        <row r="358">
          <cell r="F358">
            <v>150000</v>
          </cell>
        </row>
        <row r="359">
          <cell r="F359">
            <v>150000</v>
          </cell>
        </row>
        <row r="360">
          <cell r="F360">
            <v>150000</v>
          </cell>
        </row>
        <row r="361">
          <cell r="F361">
            <v>150000</v>
          </cell>
        </row>
        <row r="362">
          <cell r="F362">
            <v>150000</v>
          </cell>
        </row>
        <row r="363">
          <cell r="F363">
            <v>150000</v>
          </cell>
        </row>
        <row r="364">
          <cell r="F364">
            <v>150000</v>
          </cell>
        </row>
        <row r="365">
          <cell r="F365">
            <v>150000</v>
          </cell>
        </row>
        <row r="366">
          <cell r="F366">
            <v>911400</v>
          </cell>
        </row>
        <row r="367">
          <cell r="F367">
            <v>911400</v>
          </cell>
        </row>
        <row r="368">
          <cell r="F368">
            <v>911400</v>
          </cell>
        </row>
        <row r="369">
          <cell r="F369">
            <v>911400</v>
          </cell>
        </row>
        <row r="370">
          <cell r="F370">
            <v>911400</v>
          </cell>
        </row>
        <row r="371">
          <cell r="F371">
            <v>901400</v>
          </cell>
        </row>
        <row r="372">
          <cell r="F372">
            <v>901400</v>
          </cell>
        </row>
        <row r="373">
          <cell r="F373">
            <v>596893</v>
          </cell>
        </row>
        <row r="374">
          <cell r="F374">
            <v>124200</v>
          </cell>
        </row>
        <row r="375">
          <cell r="F375">
            <v>180307</v>
          </cell>
        </row>
        <row r="376">
          <cell r="F376">
            <v>10000</v>
          </cell>
        </row>
        <row r="377">
          <cell r="F377">
            <v>10000</v>
          </cell>
        </row>
        <row r="378">
          <cell r="F378">
            <v>10000</v>
          </cell>
        </row>
        <row r="379">
          <cell r="F379">
            <v>8316621</v>
          </cell>
        </row>
        <row r="380">
          <cell r="F380">
            <v>8316621</v>
          </cell>
        </row>
        <row r="381">
          <cell r="F381">
            <v>8316621</v>
          </cell>
        </row>
        <row r="382">
          <cell r="F382">
            <v>8316621</v>
          </cell>
        </row>
        <row r="383">
          <cell r="F383">
            <v>8316621</v>
          </cell>
        </row>
        <row r="384">
          <cell r="F384">
            <v>8086621</v>
          </cell>
        </row>
        <row r="385">
          <cell r="F385">
            <v>7676847</v>
          </cell>
        </row>
        <row r="386">
          <cell r="F386">
            <v>7676847</v>
          </cell>
        </row>
        <row r="387">
          <cell r="F387">
            <v>5860835</v>
          </cell>
        </row>
        <row r="388">
          <cell r="F388">
            <v>40000</v>
          </cell>
        </row>
        <row r="389">
          <cell r="F389">
            <v>1776012</v>
          </cell>
        </row>
        <row r="390">
          <cell r="F390">
            <v>409774</v>
          </cell>
        </row>
        <row r="391">
          <cell r="F391">
            <v>409774</v>
          </cell>
        </row>
        <row r="392">
          <cell r="F392">
            <v>409774</v>
          </cell>
        </row>
        <row r="393">
          <cell r="F393">
            <v>230000</v>
          </cell>
        </row>
        <row r="394">
          <cell r="F394">
            <v>230000</v>
          </cell>
        </row>
        <row r="395">
          <cell r="F395">
            <v>230000</v>
          </cell>
        </row>
        <row r="396">
          <cell r="F396">
            <v>230000</v>
          </cell>
        </row>
        <row r="397">
          <cell r="F397">
            <v>5499200</v>
          </cell>
        </row>
        <row r="398">
          <cell r="F398">
            <v>5499200</v>
          </cell>
        </row>
        <row r="399">
          <cell r="F399">
            <v>5499200</v>
          </cell>
        </row>
        <row r="400">
          <cell r="F400">
            <v>5499200</v>
          </cell>
        </row>
        <row r="401">
          <cell r="F401">
            <v>5499200</v>
          </cell>
        </row>
        <row r="402">
          <cell r="F402">
            <v>5379200</v>
          </cell>
        </row>
        <row r="403">
          <cell r="F403">
            <v>5003677</v>
          </cell>
        </row>
        <row r="404">
          <cell r="F404">
            <v>5003677</v>
          </cell>
        </row>
        <row r="405">
          <cell r="F405">
            <v>3781702</v>
          </cell>
        </row>
        <row r="406">
          <cell r="F406">
            <v>79901</v>
          </cell>
        </row>
        <row r="407">
          <cell r="F407">
            <v>1142074</v>
          </cell>
        </row>
        <row r="408">
          <cell r="F408">
            <v>375523</v>
          </cell>
        </row>
        <row r="409">
          <cell r="F409">
            <v>375523</v>
          </cell>
        </row>
        <row r="410">
          <cell r="F410">
            <v>375523</v>
          </cell>
        </row>
        <row r="411">
          <cell r="F411">
            <v>120000</v>
          </cell>
        </row>
        <row r="412">
          <cell r="F412">
            <v>120000</v>
          </cell>
        </row>
        <row r="413">
          <cell r="F413">
            <v>120000</v>
          </cell>
        </row>
        <row r="414">
          <cell r="F414">
            <v>120000</v>
          </cell>
        </row>
        <row r="415">
          <cell r="F415">
            <v>301770720</v>
          </cell>
        </row>
        <row r="416">
          <cell r="F416">
            <v>61849108</v>
          </cell>
        </row>
        <row r="417">
          <cell r="F417">
            <v>50671255</v>
          </cell>
        </row>
        <row r="418">
          <cell r="F418">
            <v>50671255</v>
          </cell>
        </row>
        <row r="419">
          <cell r="F419">
            <v>50671255</v>
          </cell>
        </row>
        <row r="420">
          <cell r="F420">
            <v>36162465</v>
          </cell>
        </row>
        <row r="421">
          <cell r="F421">
            <v>36162465</v>
          </cell>
        </row>
        <row r="422">
          <cell r="F422">
            <v>36162465</v>
          </cell>
        </row>
        <row r="423">
          <cell r="F423">
            <v>36162465</v>
          </cell>
        </row>
        <row r="424">
          <cell r="F424">
            <v>9602400</v>
          </cell>
        </row>
        <row r="425">
          <cell r="F425">
            <v>9602400</v>
          </cell>
        </row>
        <row r="426">
          <cell r="F426">
            <v>9602400</v>
          </cell>
        </row>
        <row r="427">
          <cell r="F427">
            <v>9602400</v>
          </cell>
        </row>
        <row r="428">
          <cell r="F428">
            <v>271390</v>
          </cell>
        </row>
        <row r="429">
          <cell r="F429">
            <v>271390</v>
          </cell>
        </row>
        <row r="430">
          <cell r="F430">
            <v>271390</v>
          </cell>
        </row>
        <row r="431">
          <cell r="F431">
            <v>271390</v>
          </cell>
        </row>
        <row r="432">
          <cell r="F432">
            <v>330000</v>
          </cell>
        </row>
        <row r="433">
          <cell r="F433">
            <v>330000</v>
          </cell>
        </row>
        <row r="434">
          <cell r="F434">
            <v>330000</v>
          </cell>
        </row>
        <row r="435">
          <cell r="F435">
            <v>330000</v>
          </cell>
        </row>
        <row r="436">
          <cell r="F436">
            <v>3870000</v>
          </cell>
        </row>
        <row r="437">
          <cell r="F437">
            <v>3870000</v>
          </cell>
        </row>
        <row r="438">
          <cell r="F438">
            <v>3870000</v>
          </cell>
        </row>
        <row r="439">
          <cell r="F439">
            <v>3870000</v>
          </cell>
        </row>
        <row r="440">
          <cell r="F440">
            <v>54000</v>
          </cell>
        </row>
        <row r="441">
          <cell r="F441">
            <v>54000</v>
          </cell>
        </row>
        <row r="442">
          <cell r="F442">
            <v>54000</v>
          </cell>
        </row>
        <row r="443">
          <cell r="F443">
            <v>54000</v>
          </cell>
        </row>
        <row r="444">
          <cell r="F444">
            <v>381000</v>
          </cell>
        </row>
        <row r="445">
          <cell r="F445">
            <v>381000</v>
          </cell>
        </row>
        <row r="446">
          <cell r="F446">
            <v>381000</v>
          </cell>
        </row>
        <row r="447">
          <cell r="F447">
            <v>381000</v>
          </cell>
        </row>
        <row r="448">
          <cell r="F448">
            <v>11177853</v>
          </cell>
        </row>
        <row r="449">
          <cell r="F449">
            <v>11177853</v>
          </cell>
        </row>
        <row r="450">
          <cell r="F450">
            <v>206320</v>
          </cell>
        </row>
        <row r="451">
          <cell r="F451">
            <v>206320</v>
          </cell>
        </row>
        <row r="452">
          <cell r="F452">
            <v>206320</v>
          </cell>
        </row>
        <row r="453">
          <cell r="F453">
            <v>206320</v>
          </cell>
        </row>
        <row r="454">
          <cell r="F454">
            <v>206320</v>
          </cell>
        </row>
        <row r="455">
          <cell r="F455">
            <v>10971533</v>
          </cell>
        </row>
        <row r="456">
          <cell r="F456">
            <v>7485933</v>
          </cell>
        </row>
        <row r="457">
          <cell r="F457">
            <v>7485933</v>
          </cell>
        </row>
        <row r="458">
          <cell r="F458">
            <v>7485933</v>
          </cell>
        </row>
        <row r="459">
          <cell r="F459">
            <v>7485933</v>
          </cell>
        </row>
        <row r="460">
          <cell r="F460">
            <v>1200000</v>
          </cell>
        </row>
        <row r="461">
          <cell r="F461">
            <v>1200000</v>
          </cell>
        </row>
        <row r="462">
          <cell r="F462">
            <v>1200000</v>
          </cell>
        </row>
        <row r="463">
          <cell r="F463">
            <v>1200000</v>
          </cell>
        </row>
        <row r="464">
          <cell r="F464">
            <v>30000</v>
          </cell>
        </row>
        <row r="465">
          <cell r="F465">
            <v>30000</v>
          </cell>
        </row>
        <row r="466">
          <cell r="F466">
            <v>30000</v>
          </cell>
        </row>
        <row r="467">
          <cell r="F467">
            <v>30000</v>
          </cell>
        </row>
        <row r="468">
          <cell r="F468">
            <v>950000</v>
          </cell>
        </row>
        <row r="469">
          <cell r="F469">
            <v>950000</v>
          </cell>
        </row>
        <row r="470">
          <cell r="F470">
            <v>950000</v>
          </cell>
        </row>
        <row r="471">
          <cell r="F471">
            <v>950000</v>
          </cell>
        </row>
        <row r="472">
          <cell r="F472">
            <v>24000</v>
          </cell>
        </row>
        <row r="473">
          <cell r="F473">
            <v>24000</v>
          </cell>
        </row>
        <row r="474">
          <cell r="F474">
            <v>24000</v>
          </cell>
        </row>
        <row r="475">
          <cell r="F475">
            <v>24000</v>
          </cell>
        </row>
        <row r="476">
          <cell r="F476">
            <v>250000</v>
          </cell>
        </row>
        <row r="477">
          <cell r="F477">
            <v>250000</v>
          </cell>
        </row>
        <row r="478">
          <cell r="F478">
            <v>250000</v>
          </cell>
        </row>
        <row r="479">
          <cell r="F479">
            <v>250000</v>
          </cell>
        </row>
        <row r="480">
          <cell r="F480">
            <v>1031600</v>
          </cell>
        </row>
        <row r="481">
          <cell r="F481">
            <v>1031600</v>
          </cell>
        </row>
        <row r="482">
          <cell r="F482">
            <v>1031600</v>
          </cell>
        </row>
        <row r="483">
          <cell r="F483">
            <v>722600</v>
          </cell>
        </row>
        <row r="484">
          <cell r="F484">
            <v>309000</v>
          </cell>
        </row>
        <row r="485">
          <cell r="F485">
            <v>221463666</v>
          </cell>
        </row>
        <row r="486">
          <cell r="F486">
            <v>136773539</v>
          </cell>
        </row>
        <row r="487">
          <cell r="F487">
            <v>136673539</v>
          </cell>
        </row>
        <row r="488">
          <cell r="F488">
            <v>42331871</v>
          </cell>
        </row>
        <row r="489">
          <cell r="F489">
            <v>36354974</v>
          </cell>
        </row>
        <row r="490">
          <cell r="F490">
            <v>36354974</v>
          </cell>
        </row>
        <row r="491">
          <cell r="F491">
            <v>36354974</v>
          </cell>
        </row>
        <row r="492">
          <cell r="F492">
            <v>36354974</v>
          </cell>
        </row>
        <row r="493">
          <cell r="F493">
            <v>50000</v>
          </cell>
        </row>
        <row r="494">
          <cell r="F494">
            <v>50000</v>
          </cell>
        </row>
        <row r="495">
          <cell r="F495">
            <v>50000</v>
          </cell>
        </row>
        <row r="496">
          <cell r="F496">
            <v>50000</v>
          </cell>
        </row>
        <row r="497">
          <cell r="F497">
            <v>72747</v>
          </cell>
        </row>
        <row r="498">
          <cell r="F498">
            <v>72747</v>
          </cell>
        </row>
        <row r="499">
          <cell r="F499">
            <v>72747</v>
          </cell>
        </row>
        <row r="500">
          <cell r="F500">
            <v>72747</v>
          </cell>
        </row>
        <row r="501">
          <cell r="F501">
            <v>230000</v>
          </cell>
        </row>
        <row r="502">
          <cell r="F502">
            <v>230000</v>
          </cell>
        </row>
        <row r="503">
          <cell r="F503">
            <v>230000</v>
          </cell>
        </row>
        <row r="504">
          <cell r="F504">
            <v>230000</v>
          </cell>
        </row>
        <row r="505">
          <cell r="F505">
            <v>3700000</v>
          </cell>
        </row>
        <row r="506">
          <cell r="F506">
            <v>3700000</v>
          </cell>
        </row>
        <row r="507">
          <cell r="F507">
            <v>3700000</v>
          </cell>
        </row>
        <row r="508">
          <cell r="F508">
            <v>3700000</v>
          </cell>
        </row>
        <row r="509">
          <cell r="F509">
            <v>35200</v>
          </cell>
        </row>
        <row r="510">
          <cell r="F510">
            <v>35200</v>
          </cell>
        </row>
        <row r="511">
          <cell r="F511">
            <v>35200</v>
          </cell>
        </row>
        <row r="512">
          <cell r="F512">
            <v>35200</v>
          </cell>
        </row>
        <row r="513">
          <cell r="F513">
            <v>1300000</v>
          </cell>
        </row>
        <row r="514">
          <cell r="F514">
            <v>1300000</v>
          </cell>
        </row>
        <row r="515">
          <cell r="F515">
            <v>1300000</v>
          </cell>
        </row>
        <row r="516">
          <cell r="F516">
            <v>1300000</v>
          </cell>
        </row>
        <row r="517">
          <cell r="F517">
            <v>150000</v>
          </cell>
        </row>
        <row r="518">
          <cell r="F518">
            <v>150000</v>
          </cell>
        </row>
        <row r="519">
          <cell r="F519">
            <v>150000</v>
          </cell>
        </row>
        <row r="520">
          <cell r="F520">
            <v>150000</v>
          </cell>
        </row>
        <row r="521">
          <cell r="F521">
            <v>438950</v>
          </cell>
        </row>
        <row r="522">
          <cell r="F522">
            <v>438950</v>
          </cell>
        </row>
        <row r="523">
          <cell r="F523">
            <v>438950</v>
          </cell>
        </row>
        <row r="524">
          <cell r="F524">
            <v>438950</v>
          </cell>
        </row>
        <row r="525">
          <cell r="F525">
            <v>94341668</v>
          </cell>
        </row>
        <row r="526">
          <cell r="F526">
            <v>69292273</v>
          </cell>
        </row>
        <row r="527">
          <cell r="F527">
            <v>69292273</v>
          </cell>
        </row>
        <row r="528">
          <cell r="F528">
            <v>69292273</v>
          </cell>
        </row>
        <row r="529">
          <cell r="F529">
            <v>69292273</v>
          </cell>
        </row>
        <row r="530">
          <cell r="F530">
            <v>310000</v>
          </cell>
        </row>
        <row r="531">
          <cell r="F531">
            <v>310000</v>
          </cell>
        </row>
        <row r="532">
          <cell r="F532">
            <v>310000</v>
          </cell>
        </row>
        <row r="533">
          <cell r="F533">
            <v>310000</v>
          </cell>
        </row>
        <row r="534">
          <cell r="F534">
            <v>609395</v>
          </cell>
        </row>
        <row r="535">
          <cell r="F535">
            <v>609395</v>
          </cell>
        </row>
        <row r="536">
          <cell r="F536">
            <v>609395</v>
          </cell>
        </row>
        <row r="537">
          <cell r="F537">
            <v>609395</v>
          </cell>
        </row>
        <row r="538">
          <cell r="F538">
            <v>400000</v>
          </cell>
        </row>
        <row r="539">
          <cell r="F539">
            <v>400000</v>
          </cell>
        </row>
        <row r="540">
          <cell r="F540">
            <v>400000</v>
          </cell>
        </row>
        <row r="541">
          <cell r="F541">
            <v>400000</v>
          </cell>
        </row>
        <row r="542">
          <cell r="F542">
            <v>20000000</v>
          </cell>
        </row>
        <row r="543">
          <cell r="F543">
            <v>20000000</v>
          </cell>
        </row>
        <row r="544">
          <cell r="F544">
            <v>20000000</v>
          </cell>
        </row>
        <row r="545">
          <cell r="F545">
            <v>20000000</v>
          </cell>
        </row>
        <row r="546">
          <cell r="F546">
            <v>380000</v>
          </cell>
        </row>
        <row r="547">
          <cell r="F547">
            <v>380000</v>
          </cell>
        </row>
        <row r="548">
          <cell r="F548">
            <v>380000</v>
          </cell>
        </row>
        <row r="549">
          <cell r="F549">
            <v>380000</v>
          </cell>
        </row>
        <row r="550">
          <cell r="F550">
            <v>3350000</v>
          </cell>
        </row>
        <row r="551">
          <cell r="F551">
            <v>3350000</v>
          </cell>
        </row>
        <row r="552">
          <cell r="F552">
            <v>3350000</v>
          </cell>
        </row>
        <row r="553">
          <cell r="F553">
            <v>3350000</v>
          </cell>
        </row>
        <row r="554">
          <cell r="F554">
            <v>100000</v>
          </cell>
        </row>
        <row r="555">
          <cell r="F555">
            <v>100000</v>
          </cell>
        </row>
        <row r="556">
          <cell r="F556">
            <v>50000</v>
          </cell>
        </row>
        <row r="557">
          <cell r="F557">
            <v>50000</v>
          </cell>
        </row>
        <row r="558">
          <cell r="F558">
            <v>50000</v>
          </cell>
        </row>
        <row r="559">
          <cell r="F559">
            <v>50000</v>
          </cell>
        </row>
        <row r="560">
          <cell r="F560">
            <v>50000</v>
          </cell>
        </row>
        <row r="561">
          <cell r="F561">
            <v>50000</v>
          </cell>
        </row>
        <row r="562">
          <cell r="F562">
            <v>50000</v>
          </cell>
        </row>
        <row r="563">
          <cell r="F563">
            <v>50000</v>
          </cell>
        </row>
        <row r="564">
          <cell r="F564">
            <v>84690127</v>
          </cell>
        </row>
        <row r="565">
          <cell r="F565">
            <v>84690127</v>
          </cell>
        </row>
        <row r="566">
          <cell r="F566">
            <v>84690127</v>
          </cell>
        </row>
        <row r="567">
          <cell r="F567">
            <v>45442027</v>
          </cell>
        </row>
        <row r="568">
          <cell r="F568">
            <v>42306008</v>
          </cell>
        </row>
        <row r="569">
          <cell r="F569">
            <v>42306008</v>
          </cell>
        </row>
        <row r="570">
          <cell r="F570">
            <v>32418855</v>
          </cell>
        </row>
        <row r="571">
          <cell r="F571">
            <v>131000</v>
          </cell>
        </row>
        <row r="572">
          <cell r="F572">
            <v>9756153</v>
          </cell>
        </row>
        <row r="573">
          <cell r="F573">
            <v>3075703</v>
          </cell>
        </row>
        <row r="574">
          <cell r="F574">
            <v>3075703</v>
          </cell>
        </row>
        <row r="575">
          <cell r="F575">
            <v>3075703</v>
          </cell>
        </row>
        <row r="576">
          <cell r="F576">
            <v>46816</v>
          </cell>
        </row>
        <row r="577">
          <cell r="F577">
            <v>46816</v>
          </cell>
        </row>
        <row r="578">
          <cell r="F578">
            <v>46816</v>
          </cell>
        </row>
        <row r="579">
          <cell r="F579">
            <v>13500</v>
          </cell>
        </row>
        <row r="580">
          <cell r="F580">
            <v>13500</v>
          </cell>
        </row>
        <row r="581">
          <cell r="F581">
            <v>13500</v>
          </cell>
        </row>
        <row r="582">
          <cell r="F582">
            <v>37462600</v>
          </cell>
        </row>
        <row r="583">
          <cell r="F583">
            <v>37462600</v>
          </cell>
        </row>
        <row r="584">
          <cell r="F584">
            <v>37462600</v>
          </cell>
        </row>
        <row r="585">
          <cell r="F585">
            <v>28773118</v>
          </cell>
        </row>
        <row r="586">
          <cell r="F586">
            <v>8689482</v>
          </cell>
        </row>
        <row r="587">
          <cell r="F587">
            <v>750000</v>
          </cell>
        </row>
        <row r="588">
          <cell r="F588">
            <v>750000</v>
          </cell>
        </row>
        <row r="589">
          <cell r="F589">
            <v>750000</v>
          </cell>
        </row>
        <row r="590">
          <cell r="F590">
            <v>750000</v>
          </cell>
        </row>
        <row r="591">
          <cell r="F591">
            <v>612000</v>
          </cell>
        </row>
        <row r="592">
          <cell r="F592">
            <v>612000</v>
          </cell>
        </row>
        <row r="593">
          <cell r="F593">
            <v>612000</v>
          </cell>
        </row>
        <row r="594">
          <cell r="F594">
            <v>12000</v>
          </cell>
        </row>
        <row r="595">
          <cell r="F595">
            <v>600000</v>
          </cell>
        </row>
        <row r="596">
          <cell r="F596">
            <v>23500</v>
          </cell>
        </row>
        <row r="597">
          <cell r="F597">
            <v>23500</v>
          </cell>
        </row>
        <row r="598">
          <cell r="F598">
            <v>23500</v>
          </cell>
        </row>
        <row r="599">
          <cell r="F599">
            <v>23500</v>
          </cell>
        </row>
        <row r="600">
          <cell r="F600">
            <v>200000</v>
          </cell>
        </row>
        <row r="601">
          <cell r="F601">
            <v>200000</v>
          </cell>
        </row>
        <row r="602">
          <cell r="F602">
            <v>200000</v>
          </cell>
        </row>
        <row r="603">
          <cell r="F603">
            <v>200000</v>
          </cell>
        </row>
        <row r="604">
          <cell r="F604">
            <v>200000</v>
          </cell>
        </row>
        <row r="605">
          <cell r="F605">
            <v>200000</v>
          </cell>
        </row>
        <row r="606">
          <cell r="F606">
            <v>200000</v>
          </cell>
        </row>
        <row r="607">
          <cell r="F607">
            <v>200000</v>
          </cell>
        </row>
        <row r="608">
          <cell r="F608">
            <v>18457946</v>
          </cell>
        </row>
        <row r="609">
          <cell r="F609">
            <v>17770296</v>
          </cell>
        </row>
        <row r="610">
          <cell r="F610">
            <v>17770296</v>
          </cell>
        </row>
        <row r="611">
          <cell r="F611">
            <v>17770296</v>
          </cell>
        </row>
        <row r="612">
          <cell r="F612">
            <v>10904296</v>
          </cell>
        </row>
        <row r="613">
          <cell r="F613">
            <v>10904296</v>
          </cell>
        </row>
        <row r="614">
          <cell r="F614">
            <v>10904296</v>
          </cell>
        </row>
        <row r="615">
          <cell r="F615">
            <v>10904296</v>
          </cell>
        </row>
        <row r="616">
          <cell r="F616">
            <v>2475000</v>
          </cell>
        </row>
        <row r="617">
          <cell r="F617">
            <v>2475000</v>
          </cell>
        </row>
        <row r="618">
          <cell r="F618">
            <v>2475000</v>
          </cell>
        </row>
        <row r="619">
          <cell r="F619">
            <v>2475000</v>
          </cell>
        </row>
        <row r="620">
          <cell r="F620">
            <v>50000</v>
          </cell>
        </row>
        <row r="621">
          <cell r="F621">
            <v>50000</v>
          </cell>
        </row>
        <row r="622">
          <cell r="F622">
            <v>50000</v>
          </cell>
        </row>
        <row r="623">
          <cell r="F623">
            <v>50000</v>
          </cell>
        </row>
        <row r="624">
          <cell r="F624">
            <v>2920000</v>
          </cell>
        </row>
        <row r="625">
          <cell r="F625">
            <v>2920000</v>
          </cell>
        </row>
        <row r="626">
          <cell r="F626">
            <v>2920000</v>
          </cell>
        </row>
        <row r="627">
          <cell r="F627">
            <v>2920000</v>
          </cell>
        </row>
        <row r="628">
          <cell r="F628">
            <v>21000</v>
          </cell>
        </row>
        <row r="629">
          <cell r="F629">
            <v>21000</v>
          </cell>
        </row>
        <row r="630">
          <cell r="F630">
            <v>21000</v>
          </cell>
        </row>
        <row r="631">
          <cell r="F631">
            <v>21000</v>
          </cell>
        </row>
        <row r="632">
          <cell r="F632">
            <v>500000</v>
          </cell>
        </row>
        <row r="633">
          <cell r="F633">
            <v>500000</v>
          </cell>
        </row>
        <row r="634">
          <cell r="F634">
            <v>500000</v>
          </cell>
        </row>
        <row r="635">
          <cell r="F635">
            <v>500000</v>
          </cell>
        </row>
        <row r="636">
          <cell r="F636">
            <v>900000</v>
          </cell>
        </row>
        <row r="637">
          <cell r="F637">
            <v>900000</v>
          </cell>
        </row>
        <row r="638">
          <cell r="F638">
            <v>900000</v>
          </cell>
        </row>
        <row r="639">
          <cell r="F639">
            <v>900000</v>
          </cell>
        </row>
        <row r="640">
          <cell r="F640">
            <v>687650</v>
          </cell>
        </row>
        <row r="641">
          <cell r="F641">
            <v>687650</v>
          </cell>
        </row>
        <row r="642">
          <cell r="F642">
            <v>500000</v>
          </cell>
        </row>
        <row r="643">
          <cell r="F643">
            <v>500000</v>
          </cell>
        </row>
        <row r="644">
          <cell r="F644">
            <v>500000</v>
          </cell>
        </row>
        <row r="645">
          <cell r="F645">
            <v>500000</v>
          </cell>
        </row>
        <row r="646">
          <cell r="F646">
            <v>500000</v>
          </cell>
        </row>
        <row r="647">
          <cell r="F647">
            <v>187650</v>
          </cell>
        </row>
        <row r="648">
          <cell r="F648">
            <v>187650</v>
          </cell>
        </row>
        <row r="649">
          <cell r="F649">
            <v>187650</v>
          </cell>
        </row>
        <row r="650">
          <cell r="F650">
            <v>187650</v>
          </cell>
        </row>
        <row r="651">
          <cell r="F651">
            <v>187650</v>
          </cell>
        </row>
        <row r="652">
          <cell r="F652">
            <v>3179454</v>
          </cell>
        </row>
        <row r="653">
          <cell r="F653">
            <v>1350000</v>
          </cell>
        </row>
        <row r="654">
          <cell r="F654">
            <v>1350000</v>
          </cell>
        </row>
        <row r="655">
          <cell r="F655">
            <v>1350000</v>
          </cell>
        </row>
        <row r="656">
          <cell r="F656">
            <v>1350000</v>
          </cell>
        </row>
        <row r="657">
          <cell r="F657">
            <v>1350000</v>
          </cell>
        </row>
        <row r="658">
          <cell r="F658">
            <v>1350000</v>
          </cell>
        </row>
        <row r="659">
          <cell r="F659">
            <v>1350000</v>
          </cell>
        </row>
        <row r="660">
          <cell r="F660">
            <v>1350000</v>
          </cell>
        </row>
        <row r="661">
          <cell r="F661">
            <v>600000</v>
          </cell>
        </row>
        <row r="662">
          <cell r="F662">
            <v>600000</v>
          </cell>
        </row>
        <row r="663">
          <cell r="F663">
            <v>600000</v>
          </cell>
        </row>
        <row r="664">
          <cell r="F664">
            <v>600000</v>
          </cell>
        </row>
        <row r="665">
          <cell r="F665">
            <v>600000</v>
          </cell>
        </row>
        <row r="666">
          <cell r="F666">
            <v>600000</v>
          </cell>
        </row>
        <row r="667">
          <cell r="F667">
            <v>600000</v>
          </cell>
        </row>
        <row r="668">
          <cell r="F668">
            <v>600000</v>
          </cell>
        </row>
        <row r="669">
          <cell r="F669">
            <v>1229454</v>
          </cell>
        </row>
        <row r="670">
          <cell r="F670">
            <v>1229454</v>
          </cell>
        </row>
        <row r="671">
          <cell r="F671">
            <v>269454</v>
          </cell>
        </row>
        <row r="672">
          <cell r="F672">
            <v>269454</v>
          </cell>
        </row>
        <row r="673">
          <cell r="F673">
            <v>269454</v>
          </cell>
        </row>
        <row r="674">
          <cell r="F674">
            <v>269454</v>
          </cell>
        </row>
        <row r="675">
          <cell r="F675">
            <v>269454</v>
          </cell>
        </row>
        <row r="676">
          <cell r="F676">
            <v>269454</v>
          </cell>
        </row>
        <row r="677">
          <cell r="F677">
            <v>960000</v>
          </cell>
        </row>
        <row r="678">
          <cell r="F678">
            <v>960000</v>
          </cell>
        </row>
        <row r="679">
          <cell r="F679">
            <v>960000</v>
          </cell>
        </row>
        <row r="680">
          <cell r="F680">
            <v>960000</v>
          </cell>
        </row>
        <row r="681">
          <cell r="F681">
            <v>960000</v>
          </cell>
        </row>
        <row r="682">
          <cell r="F682">
            <v>0</v>
          </cell>
        </row>
        <row r="683">
          <cell r="F683">
            <v>0</v>
          </cell>
        </row>
        <row r="684">
          <cell r="F684">
            <v>0</v>
          </cell>
        </row>
        <row r="685">
          <cell r="F685">
            <v>0</v>
          </cell>
        </row>
        <row r="686">
          <cell r="F686">
            <v>0</v>
          </cell>
        </row>
        <row r="687">
          <cell r="F687">
            <v>0</v>
          </cell>
        </row>
        <row r="688">
          <cell r="F688">
            <v>0</v>
          </cell>
        </row>
        <row r="689">
          <cell r="F689">
            <v>0</v>
          </cell>
        </row>
        <row r="690">
          <cell r="F690">
            <v>1417736600</v>
          </cell>
        </row>
        <row r="691">
          <cell r="F691">
            <v>1353315344</v>
          </cell>
        </row>
        <row r="692">
          <cell r="F692">
            <v>434465894</v>
          </cell>
        </row>
        <row r="693">
          <cell r="F693">
            <v>434465894</v>
          </cell>
        </row>
        <row r="694">
          <cell r="F694">
            <v>434465894</v>
          </cell>
        </row>
        <row r="695">
          <cell r="F695">
            <v>48626048</v>
          </cell>
        </row>
        <row r="696">
          <cell r="F696">
            <v>29328895</v>
          </cell>
        </row>
        <row r="697">
          <cell r="F697">
            <v>29328895</v>
          </cell>
        </row>
        <row r="698">
          <cell r="F698">
            <v>22651184</v>
          </cell>
        </row>
        <row r="699">
          <cell r="F699">
            <v>6677711</v>
          </cell>
        </row>
        <row r="700">
          <cell r="F700">
            <v>19237153</v>
          </cell>
        </row>
        <row r="701">
          <cell r="F701">
            <v>19237153</v>
          </cell>
        </row>
        <row r="702">
          <cell r="F702">
            <v>19237153</v>
          </cell>
        </row>
        <row r="703">
          <cell r="F703">
            <v>60000</v>
          </cell>
        </row>
        <row r="704">
          <cell r="F704">
            <v>60000</v>
          </cell>
        </row>
        <row r="705">
          <cell r="F705">
            <v>60000</v>
          </cell>
        </row>
        <row r="706">
          <cell r="F706">
            <v>48282846</v>
          </cell>
        </row>
        <row r="707">
          <cell r="F707">
            <v>48282846</v>
          </cell>
        </row>
        <row r="708">
          <cell r="F708">
            <v>48282846</v>
          </cell>
        </row>
        <row r="709">
          <cell r="F709">
            <v>37085000</v>
          </cell>
        </row>
        <row r="710">
          <cell r="F710">
            <v>11197846</v>
          </cell>
        </row>
        <row r="711">
          <cell r="F711">
            <v>839000</v>
          </cell>
        </row>
        <row r="712">
          <cell r="F712">
            <v>839000</v>
          </cell>
        </row>
        <row r="713">
          <cell r="F713">
            <v>839000</v>
          </cell>
        </row>
        <row r="714">
          <cell r="F714">
            <v>839000</v>
          </cell>
        </row>
        <row r="715">
          <cell r="F715">
            <v>42387100</v>
          </cell>
        </row>
        <row r="716">
          <cell r="F716">
            <v>42387100</v>
          </cell>
        </row>
        <row r="717">
          <cell r="F717">
            <v>42387100</v>
          </cell>
        </row>
        <row r="718">
          <cell r="F718">
            <v>4723600</v>
          </cell>
        </row>
        <row r="719">
          <cell r="F719">
            <v>37663500</v>
          </cell>
        </row>
        <row r="720">
          <cell r="F720">
            <v>874300</v>
          </cell>
        </row>
        <row r="721">
          <cell r="F721">
            <v>874300</v>
          </cell>
        </row>
        <row r="722">
          <cell r="F722">
            <v>874300</v>
          </cell>
        </row>
        <row r="723">
          <cell r="F723">
            <v>874300</v>
          </cell>
        </row>
        <row r="724">
          <cell r="F724">
            <v>41000000</v>
          </cell>
        </row>
        <row r="725">
          <cell r="F725">
            <v>41000000</v>
          </cell>
        </row>
        <row r="726">
          <cell r="F726">
            <v>41000000</v>
          </cell>
        </row>
        <row r="727">
          <cell r="F727">
            <v>41000000</v>
          </cell>
        </row>
        <row r="728">
          <cell r="F728">
            <v>10215000</v>
          </cell>
        </row>
        <row r="729">
          <cell r="F729">
            <v>10215000</v>
          </cell>
        </row>
        <row r="730">
          <cell r="F730">
            <v>10215000</v>
          </cell>
        </row>
        <row r="731">
          <cell r="F731">
            <v>10215000</v>
          </cell>
        </row>
        <row r="732">
          <cell r="F732">
            <v>90344200</v>
          </cell>
        </row>
        <row r="733">
          <cell r="F733">
            <v>83019226</v>
          </cell>
        </row>
        <row r="734">
          <cell r="F734">
            <v>83019226</v>
          </cell>
        </row>
        <row r="735">
          <cell r="F735">
            <v>62083000</v>
          </cell>
        </row>
        <row r="736">
          <cell r="F736">
            <v>2465000</v>
          </cell>
        </row>
        <row r="737">
          <cell r="F737">
            <v>18471226</v>
          </cell>
        </row>
        <row r="738">
          <cell r="F738">
            <v>7324974</v>
          </cell>
        </row>
        <row r="739">
          <cell r="F739">
            <v>7324974</v>
          </cell>
        </row>
        <row r="740">
          <cell r="F740">
            <v>7324974</v>
          </cell>
        </row>
        <row r="741">
          <cell r="F741">
            <v>151897400</v>
          </cell>
        </row>
        <row r="742">
          <cell r="F742">
            <v>138335290</v>
          </cell>
        </row>
        <row r="743">
          <cell r="F743">
            <v>138335290</v>
          </cell>
        </row>
        <row r="744">
          <cell r="F744">
            <v>105333440</v>
          </cell>
        </row>
        <row r="745">
          <cell r="F745">
            <v>1479585</v>
          </cell>
        </row>
        <row r="746">
          <cell r="F746">
            <v>31522265</v>
          </cell>
        </row>
        <row r="747">
          <cell r="F747">
            <v>13562110</v>
          </cell>
        </row>
        <row r="748">
          <cell r="F748">
            <v>13562110</v>
          </cell>
        </row>
        <row r="749">
          <cell r="F749">
            <v>13562110</v>
          </cell>
        </row>
        <row r="750">
          <cell r="F750">
            <v>756784640</v>
          </cell>
        </row>
        <row r="751">
          <cell r="F751">
            <v>754384640</v>
          </cell>
        </row>
        <row r="752">
          <cell r="F752">
            <v>754384640</v>
          </cell>
        </row>
        <row r="753">
          <cell r="F753">
            <v>70954172</v>
          </cell>
        </row>
        <row r="754">
          <cell r="F754">
            <v>45933072</v>
          </cell>
        </row>
        <row r="755">
          <cell r="F755">
            <v>45933072</v>
          </cell>
        </row>
        <row r="756">
          <cell r="F756">
            <v>35370800</v>
          </cell>
        </row>
        <row r="757">
          <cell r="F757">
            <v>520</v>
          </cell>
        </row>
        <row r="758">
          <cell r="F758">
            <v>10561752</v>
          </cell>
        </row>
        <row r="759">
          <cell r="F759">
            <v>25021100</v>
          </cell>
        </row>
        <row r="760">
          <cell r="F760">
            <v>25021100</v>
          </cell>
        </row>
        <row r="761">
          <cell r="F761">
            <v>25021100</v>
          </cell>
        </row>
        <row r="762">
          <cell r="F762">
            <v>69561954</v>
          </cell>
        </row>
        <row r="763">
          <cell r="F763">
            <v>69561954</v>
          </cell>
        </row>
        <row r="764">
          <cell r="F764">
            <v>69561954</v>
          </cell>
        </row>
        <row r="765">
          <cell r="F765">
            <v>53427000</v>
          </cell>
        </row>
        <row r="766">
          <cell r="F766">
            <v>16134954</v>
          </cell>
        </row>
        <row r="767">
          <cell r="F767">
            <v>2608000</v>
          </cell>
        </row>
        <row r="768">
          <cell r="F768">
            <v>390000</v>
          </cell>
        </row>
        <row r="769">
          <cell r="F769">
            <v>390000</v>
          </cell>
        </row>
        <row r="770">
          <cell r="F770">
            <v>210000</v>
          </cell>
        </row>
        <row r="771">
          <cell r="F771">
            <v>180000</v>
          </cell>
        </row>
        <row r="772">
          <cell r="F772">
            <v>2218000</v>
          </cell>
        </row>
        <row r="773">
          <cell r="F773">
            <v>2218000</v>
          </cell>
        </row>
        <row r="774">
          <cell r="F774">
            <v>2218000</v>
          </cell>
        </row>
        <row r="775">
          <cell r="F775">
            <v>960000</v>
          </cell>
        </row>
        <row r="776">
          <cell r="F776">
            <v>960000</v>
          </cell>
        </row>
        <row r="777">
          <cell r="F777">
            <v>960000</v>
          </cell>
        </row>
        <row r="778">
          <cell r="F778">
            <v>960000</v>
          </cell>
        </row>
        <row r="779">
          <cell r="F779">
            <v>105225478</v>
          </cell>
        </row>
        <row r="780">
          <cell r="F780">
            <v>105225478</v>
          </cell>
        </row>
        <row r="781">
          <cell r="F781">
            <v>105225478</v>
          </cell>
        </row>
        <row r="782">
          <cell r="F782">
            <v>10677478</v>
          </cell>
        </row>
        <row r="783">
          <cell r="F783">
            <v>94548000</v>
          </cell>
        </row>
        <row r="784">
          <cell r="F784">
            <v>1351700</v>
          </cell>
        </row>
        <row r="785">
          <cell r="F785">
            <v>1351700</v>
          </cell>
        </row>
        <row r="786">
          <cell r="F786">
            <v>1351700</v>
          </cell>
        </row>
        <row r="787">
          <cell r="F787">
            <v>1351700</v>
          </cell>
        </row>
        <row r="788">
          <cell r="F788">
            <v>4705000</v>
          </cell>
        </row>
        <row r="789">
          <cell r="F789">
            <v>4705000</v>
          </cell>
        </row>
        <row r="790">
          <cell r="F790">
            <v>4705000</v>
          </cell>
        </row>
        <row r="791">
          <cell r="F791">
            <v>4705000</v>
          </cell>
        </row>
        <row r="792">
          <cell r="F792">
            <v>11244000</v>
          </cell>
        </row>
        <row r="793">
          <cell r="F793">
            <v>11244000</v>
          </cell>
        </row>
        <row r="794">
          <cell r="F794">
            <v>11244000</v>
          </cell>
        </row>
        <row r="795">
          <cell r="F795">
            <v>11244000</v>
          </cell>
        </row>
        <row r="796">
          <cell r="F796">
            <v>92779300</v>
          </cell>
        </row>
        <row r="797">
          <cell r="F797">
            <v>82552136</v>
          </cell>
        </row>
        <row r="798">
          <cell r="F798">
            <v>82552136</v>
          </cell>
        </row>
        <row r="799">
          <cell r="F799">
            <v>59988000</v>
          </cell>
        </row>
        <row r="800">
          <cell r="F800">
            <v>4635000</v>
          </cell>
        </row>
        <row r="801">
          <cell r="F801">
            <v>17929136</v>
          </cell>
        </row>
        <row r="802">
          <cell r="F802">
            <v>10227164</v>
          </cell>
        </row>
        <row r="803">
          <cell r="F803">
            <v>10227164</v>
          </cell>
        </row>
        <row r="804">
          <cell r="F804">
            <v>10227164</v>
          </cell>
        </row>
        <row r="805">
          <cell r="F805">
            <v>370377836</v>
          </cell>
        </row>
        <row r="806">
          <cell r="F806">
            <v>336421204</v>
          </cell>
        </row>
        <row r="807">
          <cell r="F807">
            <v>336421204</v>
          </cell>
        </row>
        <row r="808">
          <cell r="F808">
            <v>255542000</v>
          </cell>
        </row>
        <row r="809">
          <cell r="F809">
            <v>4080000</v>
          </cell>
        </row>
        <row r="810">
          <cell r="F810">
            <v>76799204</v>
          </cell>
        </row>
        <row r="811">
          <cell r="F811">
            <v>33956632</v>
          </cell>
        </row>
        <row r="812">
          <cell r="F812">
            <v>33956632</v>
          </cell>
        </row>
        <row r="813">
          <cell r="F813">
            <v>33956632</v>
          </cell>
        </row>
        <row r="814">
          <cell r="F814">
            <v>800000</v>
          </cell>
        </row>
        <row r="815">
          <cell r="F815">
            <v>800000</v>
          </cell>
        </row>
        <row r="816">
          <cell r="F816">
            <v>800000</v>
          </cell>
        </row>
        <row r="817">
          <cell r="F817">
            <v>800000</v>
          </cell>
        </row>
        <row r="818">
          <cell r="F818">
            <v>187200</v>
          </cell>
        </row>
        <row r="819">
          <cell r="F819">
            <v>187200</v>
          </cell>
        </row>
        <row r="820">
          <cell r="F820">
            <v>187200</v>
          </cell>
        </row>
        <row r="821">
          <cell r="F821">
            <v>40000</v>
          </cell>
        </row>
        <row r="822">
          <cell r="F822">
            <v>40000</v>
          </cell>
        </row>
        <row r="823">
          <cell r="F823">
            <v>40000</v>
          </cell>
        </row>
        <row r="824">
          <cell r="F824">
            <v>40000</v>
          </cell>
        </row>
        <row r="825">
          <cell r="F825">
            <v>8404000</v>
          </cell>
        </row>
        <row r="826">
          <cell r="F826">
            <v>8404000</v>
          </cell>
        </row>
        <row r="827">
          <cell r="F827">
            <v>8404000</v>
          </cell>
        </row>
        <row r="828">
          <cell r="F828">
            <v>8404000</v>
          </cell>
        </row>
        <row r="829">
          <cell r="F829">
            <v>15186000</v>
          </cell>
        </row>
        <row r="830">
          <cell r="F830">
            <v>15186000</v>
          </cell>
        </row>
        <row r="831">
          <cell r="F831">
            <v>15186000</v>
          </cell>
        </row>
        <row r="832">
          <cell r="F832">
            <v>15186000</v>
          </cell>
        </row>
        <row r="833">
          <cell r="F833">
            <v>2400000</v>
          </cell>
        </row>
        <row r="834">
          <cell r="F834">
            <v>2400000</v>
          </cell>
        </row>
        <row r="835">
          <cell r="F835">
            <v>2400000</v>
          </cell>
        </row>
        <row r="836">
          <cell r="F836">
            <v>2400000</v>
          </cell>
        </row>
        <row r="837">
          <cell r="F837">
            <v>2400000</v>
          </cell>
        </row>
        <row r="838">
          <cell r="F838">
            <v>2400000</v>
          </cell>
        </row>
        <row r="839">
          <cell r="F839">
            <v>60833620</v>
          </cell>
        </row>
        <row r="840">
          <cell r="F840">
            <v>60753620</v>
          </cell>
        </row>
        <row r="841">
          <cell r="F841">
            <v>60753620</v>
          </cell>
        </row>
        <row r="842">
          <cell r="F842">
            <v>2806000</v>
          </cell>
        </row>
        <row r="843">
          <cell r="F843">
            <v>2806000</v>
          </cell>
        </row>
        <row r="844">
          <cell r="F844">
            <v>2806000</v>
          </cell>
        </row>
        <row r="845">
          <cell r="F845">
            <v>2806000</v>
          </cell>
        </row>
        <row r="846">
          <cell r="F846">
            <v>16375400</v>
          </cell>
        </row>
        <row r="847">
          <cell r="F847">
            <v>16375400</v>
          </cell>
        </row>
        <row r="848">
          <cell r="F848">
            <v>16375400</v>
          </cell>
        </row>
        <row r="849">
          <cell r="F849">
            <v>16375400</v>
          </cell>
        </row>
        <row r="850">
          <cell r="F850">
            <v>651000</v>
          </cell>
        </row>
        <row r="851">
          <cell r="F851">
            <v>651000</v>
          </cell>
        </row>
        <row r="852">
          <cell r="F852">
            <v>651000</v>
          </cell>
        </row>
        <row r="853">
          <cell r="F853">
            <v>651000</v>
          </cell>
        </row>
        <row r="854">
          <cell r="F854">
            <v>1411400</v>
          </cell>
        </row>
        <row r="855">
          <cell r="F855">
            <v>1411400</v>
          </cell>
        </row>
        <row r="856">
          <cell r="F856">
            <v>1411400</v>
          </cell>
        </row>
        <row r="857">
          <cell r="F857">
            <v>1411400</v>
          </cell>
        </row>
        <row r="858">
          <cell r="F858">
            <v>4551000</v>
          </cell>
        </row>
        <row r="859">
          <cell r="F859">
            <v>4551000</v>
          </cell>
        </row>
        <row r="860">
          <cell r="F860">
            <v>4551000</v>
          </cell>
        </row>
        <row r="861">
          <cell r="F861">
            <v>4551000</v>
          </cell>
        </row>
        <row r="862">
          <cell r="F862">
            <v>15752100</v>
          </cell>
        </row>
        <row r="863">
          <cell r="F863">
            <v>15752100</v>
          </cell>
        </row>
        <row r="864">
          <cell r="F864">
            <v>15752100</v>
          </cell>
        </row>
        <row r="865">
          <cell r="F865">
            <v>15229162</v>
          </cell>
        </row>
        <row r="866">
          <cell r="F866">
            <v>522938</v>
          </cell>
        </row>
        <row r="867">
          <cell r="F867">
            <v>78700</v>
          </cell>
        </row>
        <row r="868">
          <cell r="F868">
            <v>78700</v>
          </cell>
        </row>
        <row r="869">
          <cell r="F869">
            <v>78700</v>
          </cell>
        </row>
        <row r="870">
          <cell r="F870">
            <v>78700</v>
          </cell>
        </row>
        <row r="871">
          <cell r="F871">
            <v>570000</v>
          </cell>
        </row>
        <row r="872">
          <cell r="F872">
            <v>570000</v>
          </cell>
        </row>
        <row r="873">
          <cell r="F873">
            <v>570000</v>
          </cell>
        </row>
        <row r="874">
          <cell r="F874">
            <v>570000</v>
          </cell>
        </row>
        <row r="875">
          <cell r="F875">
            <v>2438256</v>
          </cell>
        </row>
        <row r="876">
          <cell r="F876">
            <v>2438256</v>
          </cell>
        </row>
        <row r="877">
          <cell r="F877">
            <v>2438256</v>
          </cell>
        </row>
        <row r="878">
          <cell r="F878">
            <v>2438256</v>
          </cell>
        </row>
        <row r="879">
          <cell r="F879">
            <v>37200</v>
          </cell>
        </row>
        <row r="880">
          <cell r="F880">
            <v>37200</v>
          </cell>
        </row>
        <row r="881">
          <cell r="F881">
            <v>37200</v>
          </cell>
        </row>
        <row r="882">
          <cell r="F882">
            <v>37200</v>
          </cell>
        </row>
        <row r="883">
          <cell r="F883">
            <v>274800</v>
          </cell>
        </row>
        <row r="884">
          <cell r="F884">
            <v>274800</v>
          </cell>
        </row>
        <row r="885">
          <cell r="F885">
            <v>274800</v>
          </cell>
        </row>
        <row r="886">
          <cell r="F886">
            <v>274800</v>
          </cell>
        </row>
        <row r="887">
          <cell r="F887">
            <v>15807764</v>
          </cell>
        </row>
        <row r="888">
          <cell r="F888">
            <v>5499648</v>
          </cell>
        </row>
        <row r="889">
          <cell r="F889">
            <v>5499648</v>
          </cell>
        </row>
        <row r="890">
          <cell r="F890">
            <v>4224000</v>
          </cell>
        </row>
        <row r="891">
          <cell r="F891">
            <v>1275648</v>
          </cell>
        </row>
        <row r="892">
          <cell r="F892">
            <v>10308116</v>
          </cell>
        </row>
        <row r="893">
          <cell r="F893">
            <v>10308116</v>
          </cell>
        </row>
        <row r="894">
          <cell r="F894">
            <v>10308116</v>
          </cell>
        </row>
        <row r="895">
          <cell r="F895">
            <v>80000</v>
          </cell>
        </row>
        <row r="896">
          <cell r="F896">
            <v>80000</v>
          </cell>
        </row>
        <row r="897">
          <cell r="F897">
            <v>80000</v>
          </cell>
        </row>
        <row r="898">
          <cell r="F898">
            <v>80000</v>
          </cell>
        </row>
        <row r="899">
          <cell r="F899">
            <v>80000</v>
          </cell>
        </row>
        <row r="900">
          <cell r="F900">
            <v>80000</v>
          </cell>
        </row>
        <row r="901">
          <cell r="F901">
            <v>17204000</v>
          </cell>
        </row>
        <row r="902">
          <cell r="F902">
            <v>17204000</v>
          </cell>
        </row>
        <row r="903">
          <cell r="F903">
            <v>16930910</v>
          </cell>
        </row>
        <row r="904">
          <cell r="F904">
            <v>1008000</v>
          </cell>
        </row>
        <row r="905">
          <cell r="F905">
            <v>1008000</v>
          </cell>
        </row>
        <row r="906">
          <cell r="F906">
            <v>1008000</v>
          </cell>
        </row>
        <row r="907">
          <cell r="F907">
            <v>1008000</v>
          </cell>
        </row>
        <row r="908">
          <cell r="F908">
            <v>850000</v>
          </cell>
        </row>
        <row r="909">
          <cell r="F909">
            <v>850000</v>
          </cell>
        </row>
        <row r="910">
          <cell r="F910">
            <v>850000</v>
          </cell>
        </row>
        <row r="911">
          <cell r="F911">
            <v>850000</v>
          </cell>
        </row>
        <row r="912">
          <cell r="F912">
            <v>93000</v>
          </cell>
        </row>
        <row r="913">
          <cell r="F913">
            <v>93000</v>
          </cell>
        </row>
        <row r="914">
          <cell r="F914">
            <v>93000</v>
          </cell>
        </row>
        <row r="915">
          <cell r="F915">
            <v>93000</v>
          </cell>
        </row>
        <row r="916">
          <cell r="F916">
            <v>59000</v>
          </cell>
        </row>
        <row r="917">
          <cell r="F917">
            <v>59000</v>
          </cell>
        </row>
        <row r="918">
          <cell r="F918">
            <v>59000</v>
          </cell>
        </row>
        <row r="919">
          <cell r="F919">
            <v>59000</v>
          </cell>
        </row>
        <row r="920">
          <cell r="F920">
            <v>47750</v>
          </cell>
        </row>
        <row r="921">
          <cell r="F921">
            <v>47750</v>
          </cell>
        </row>
        <row r="922">
          <cell r="F922">
            <v>47750</v>
          </cell>
        </row>
        <row r="923">
          <cell r="F923">
            <v>47750</v>
          </cell>
        </row>
        <row r="924">
          <cell r="F924">
            <v>153000</v>
          </cell>
        </row>
        <row r="925">
          <cell r="F925">
            <v>153000</v>
          </cell>
        </row>
        <row r="926">
          <cell r="F926">
            <v>153000</v>
          </cell>
        </row>
        <row r="927">
          <cell r="F927">
            <v>153000</v>
          </cell>
        </row>
        <row r="928">
          <cell r="F928">
            <v>11850300</v>
          </cell>
        </row>
        <row r="929">
          <cell r="F929">
            <v>7633100</v>
          </cell>
        </row>
        <row r="930">
          <cell r="F930">
            <v>7633100</v>
          </cell>
        </row>
        <row r="931">
          <cell r="F931">
            <v>7633100</v>
          </cell>
        </row>
        <row r="932">
          <cell r="F932">
            <v>4217200</v>
          </cell>
        </row>
        <row r="933">
          <cell r="F933">
            <v>4217200</v>
          </cell>
        </row>
        <row r="934">
          <cell r="F934">
            <v>4217200</v>
          </cell>
        </row>
        <row r="935">
          <cell r="F935">
            <v>2511500</v>
          </cell>
        </row>
        <row r="936">
          <cell r="F936">
            <v>1246500</v>
          </cell>
        </row>
        <row r="937">
          <cell r="F937">
            <v>1246500</v>
          </cell>
        </row>
        <row r="938">
          <cell r="F938">
            <v>1246500</v>
          </cell>
        </row>
        <row r="939">
          <cell r="F939">
            <v>1265000</v>
          </cell>
        </row>
        <row r="940">
          <cell r="F940">
            <v>1265000</v>
          </cell>
        </row>
        <row r="941">
          <cell r="F941">
            <v>1265000</v>
          </cell>
        </row>
        <row r="942">
          <cell r="F942">
            <v>358360</v>
          </cell>
        </row>
        <row r="943">
          <cell r="F943">
            <v>358360</v>
          </cell>
        </row>
        <row r="944">
          <cell r="F944">
            <v>358360</v>
          </cell>
        </row>
        <row r="945">
          <cell r="F945">
            <v>358360</v>
          </cell>
        </row>
        <row r="946">
          <cell r="F946">
            <v>273090</v>
          </cell>
        </row>
        <row r="947">
          <cell r="F947">
            <v>73090</v>
          </cell>
        </row>
        <row r="948">
          <cell r="F948">
            <v>69590</v>
          </cell>
        </row>
        <row r="949">
          <cell r="F949">
            <v>69590</v>
          </cell>
        </row>
        <row r="950">
          <cell r="F950">
            <v>53449</v>
          </cell>
        </row>
        <row r="951">
          <cell r="F951">
            <v>16141</v>
          </cell>
        </row>
        <row r="952">
          <cell r="F952">
            <v>3500</v>
          </cell>
        </row>
        <row r="953">
          <cell r="F953">
            <v>3500</v>
          </cell>
        </row>
        <row r="954">
          <cell r="F954">
            <v>3500</v>
          </cell>
        </row>
        <row r="955">
          <cell r="F955">
            <v>200000</v>
          </cell>
        </row>
        <row r="956">
          <cell r="F956">
            <v>200000</v>
          </cell>
        </row>
        <row r="957">
          <cell r="F957">
            <v>200000</v>
          </cell>
        </row>
        <row r="958">
          <cell r="F958">
            <v>200000</v>
          </cell>
        </row>
        <row r="959">
          <cell r="F959">
            <v>84027190</v>
          </cell>
        </row>
        <row r="960">
          <cell r="F960">
            <v>84027190</v>
          </cell>
        </row>
        <row r="961">
          <cell r="F961">
            <v>220000</v>
          </cell>
        </row>
        <row r="962">
          <cell r="F962">
            <v>220000</v>
          </cell>
        </row>
        <row r="963">
          <cell r="F963">
            <v>220000</v>
          </cell>
        </row>
        <row r="964">
          <cell r="F964">
            <v>220000</v>
          </cell>
        </row>
        <row r="965">
          <cell r="F965">
            <v>220000</v>
          </cell>
        </row>
        <row r="966">
          <cell r="F966">
            <v>6099700</v>
          </cell>
        </row>
        <row r="967">
          <cell r="F967">
            <v>6099700</v>
          </cell>
        </row>
        <row r="968">
          <cell r="F968">
            <v>4992580</v>
          </cell>
        </row>
        <row r="969">
          <cell r="F969">
            <v>4992580</v>
          </cell>
        </row>
        <row r="970">
          <cell r="F970">
            <v>3609480</v>
          </cell>
        </row>
        <row r="971">
          <cell r="F971">
            <v>305520</v>
          </cell>
        </row>
        <row r="972">
          <cell r="F972">
            <v>1077580</v>
          </cell>
        </row>
        <row r="973">
          <cell r="F973">
            <v>1107120</v>
          </cell>
        </row>
        <row r="974">
          <cell r="F974">
            <v>1107120</v>
          </cell>
        </row>
        <row r="975">
          <cell r="F975">
            <v>1107120</v>
          </cell>
        </row>
        <row r="976">
          <cell r="F976">
            <v>77707490</v>
          </cell>
        </row>
        <row r="977">
          <cell r="F977">
            <v>49733700</v>
          </cell>
        </row>
        <row r="978">
          <cell r="F978">
            <v>46966700</v>
          </cell>
        </row>
        <row r="979">
          <cell r="F979">
            <v>46966700</v>
          </cell>
        </row>
        <row r="980">
          <cell r="F980">
            <v>36000000</v>
          </cell>
        </row>
        <row r="981">
          <cell r="F981">
            <v>140000</v>
          </cell>
        </row>
        <row r="982">
          <cell r="F982">
            <v>10826700</v>
          </cell>
        </row>
        <row r="983">
          <cell r="F983">
            <v>2767000</v>
          </cell>
        </row>
        <row r="984">
          <cell r="F984">
            <v>2767000</v>
          </cell>
        </row>
        <row r="985">
          <cell r="F985">
            <v>2767000</v>
          </cell>
        </row>
        <row r="986">
          <cell r="F986">
            <v>1148640</v>
          </cell>
        </row>
        <row r="987">
          <cell r="F987">
            <v>1148640</v>
          </cell>
        </row>
        <row r="988">
          <cell r="F988">
            <v>1148640</v>
          </cell>
        </row>
        <row r="989">
          <cell r="F989">
            <v>882000</v>
          </cell>
        </row>
        <row r="990">
          <cell r="F990">
            <v>266640</v>
          </cell>
        </row>
        <row r="991">
          <cell r="F991">
            <v>15754200</v>
          </cell>
        </row>
        <row r="992">
          <cell r="F992">
            <v>15754200</v>
          </cell>
        </row>
        <row r="993">
          <cell r="F993">
            <v>15754200</v>
          </cell>
        </row>
        <row r="994">
          <cell r="F994">
            <v>12100000</v>
          </cell>
        </row>
        <row r="995">
          <cell r="F995">
            <v>3654200</v>
          </cell>
        </row>
        <row r="996">
          <cell r="F996">
            <v>450000</v>
          </cell>
        </row>
        <row r="997">
          <cell r="F997">
            <v>450000</v>
          </cell>
        </row>
        <row r="998">
          <cell r="F998">
            <v>450000</v>
          </cell>
        </row>
        <row r="999">
          <cell r="F999">
            <v>450000</v>
          </cell>
        </row>
        <row r="1000">
          <cell r="F1000">
            <v>47400</v>
          </cell>
        </row>
        <row r="1001">
          <cell r="F1001">
            <v>47400</v>
          </cell>
        </row>
        <row r="1002">
          <cell r="F1002">
            <v>47400</v>
          </cell>
        </row>
        <row r="1003">
          <cell r="F1003">
            <v>47400</v>
          </cell>
        </row>
        <row r="1004">
          <cell r="F1004">
            <v>20000</v>
          </cell>
        </row>
        <row r="1005">
          <cell r="F1005">
            <v>20000</v>
          </cell>
        </row>
        <row r="1006">
          <cell r="F1006">
            <v>20000</v>
          </cell>
        </row>
        <row r="1007">
          <cell r="F1007">
            <v>20000</v>
          </cell>
        </row>
        <row r="1008">
          <cell r="F1008">
            <v>1180000</v>
          </cell>
        </row>
        <row r="1009">
          <cell r="F1009">
            <v>1180000</v>
          </cell>
        </row>
        <row r="1010">
          <cell r="F1010">
            <v>1180000</v>
          </cell>
        </row>
        <row r="1011">
          <cell r="F1011">
            <v>1180000</v>
          </cell>
        </row>
        <row r="1012">
          <cell r="F1012">
            <v>7689550</v>
          </cell>
        </row>
        <row r="1013">
          <cell r="F1013">
            <v>7452800</v>
          </cell>
        </row>
        <row r="1014">
          <cell r="F1014">
            <v>7452800</v>
          </cell>
        </row>
        <row r="1015">
          <cell r="F1015">
            <v>5675490</v>
          </cell>
        </row>
        <row r="1016">
          <cell r="F1016">
            <v>83000</v>
          </cell>
        </row>
        <row r="1017">
          <cell r="F1017">
            <v>1694310</v>
          </cell>
        </row>
        <row r="1018">
          <cell r="F1018">
            <v>236750</v>
          </cell>
        </row>
        <row r="1019">
          <cell r="F1019">
            <v>236750</v>
          </cell>
        </row>
        <row r="1020">
          <cell r="F1020">
            <v>236750</v>
          </cell>
        </row>
        <row r="1021">
          <cell r="F1021">
            <v>250000</v>
          </cell>
        </row>
        <row r="1022">
          <cell r="F1022">
            <v>250000</v>
          </cell>
        </row>
        <row r="1023">
          <cell r="F1023">
            <v>250000</v>
          </cell>
        </row>
        <row r="1024">
          <cell r="F1024">
            <v>250000</v>
          </cell>
        </row>
        <row r="1025">
          <cell r="F1025">
            <v>1434000</v>
          </cell>
        </row>
        <row r="1026">
          <cell r="F1026">
            <v>1434000</v>
          </cell>
        </row>
        <row r="1027">
          <cell r="F1027">
            <v>1434000</v>
          </cell>
        </row>
        <row r="1028">
          <cell r="F1028">
            <v>1434000</v>
          </cell>
        </row>
        <row r="1029">
          <cell r="F1029">
            <v>62482300</v>
          </cell>
        </row>
        <row r="1030">
          <cell r="F1030">
            <v>58577900</v>
          </cell>
        </row>
        <row r="1031">
          <cell r="F1031">
            <v>58577900</v>
          </cell>
        </row>
        <row r="1032">
          <cell r="F1032">
            <v>58577900</v>
          </cell>
        </row>
        <row r="1033">
          <cell r="F1033">
            <v>817000</v>
          </cell>
        </row>
        <row r="1034">
          <cell r="F1034">
            <v>817000</v>
          </cell>
        </row>
        <row r="1035">
          <cell r="F1035">
            <v>817000</v>
          </cell>
        </row>
        <row r="1036">
          <cell r="F1036">
            <v>817000</v>
          </cell>
        </row>
        <row r="1037">
          <cell r="F1037">
            <v>25151300</v>
          </cell>
        </row>
        <row r="1038">
          <cell r="F1038">
            <v>24006300</v>
          </cell>
        </row>
        <row r="1039">
          <cell r="F1039">
            <v>24006300</v>
          </cell>
        </row>
        <row r="1040">
          <cell r="F1040">
            <v>24006300</v>
          </cell>
        </row>
        <row r="1041">
          <cell r="F1041">
            <v>1145000</v>
          </cell>
        </row>
        <row r="1042">
          <cell r="F1042">
            <v>1145000</v>
          </cell>
        </row>
        <row r="1043">
          <cell r="F1043">
            <v>1145000</v>
          </cell>
        </row>
        <row r="1044">
          <cell r="F1044">
            <v>32609600</v>
          </cell>
        </row>
        <row r="1045">
          <cell r="F1045">
            <v>32609600</v>
          </cell>
        </row>
        <row r="1046">
          <cell r="F1046">
            <v>32609600</v>
          </cell>
        </row>
        <row r="1047">
          <cell r="F1047">
            <v>32609600</v>
          </cell>
        </row>
        <row r="1048">
          <cell r="F1048">
            <v>3904400</v>
          </cell>
        </row>
        <row r="1049">
          <cell r="F1049">
            <v>3904400</v>
          </cell>
        </row>
        <row r="1050">
          <cell r="F1050">
            <v>3904400</v>
          </cell>
        </row>
        <row r="1051">
          <cell r="F1051">
            <v>3904400</v>
          </cell>
        </row>
        <row r="1052">
          <cell r="F1052">
            <v>10000</v>
          </cell>
        </row>
        <row r="1053">
          <cell r="F1053">
            <v>10000</v>
          </cell>
        </row>
        <row r="1054">
          <cell r="F1054">
            <v>10000</v>
          </cell>
        </row>
        <row r="1055">
          <cell r="F1055">
            <v>3894400</v>
          </cell>
        </row>
        <row r="1056">
          <cell r="F1056">
            <v>3894400</v>
          </cell>
        </row>
        <row r="1057">
          <cell r="F1057">
            <v>3894400</v>
          </cell>
        </row>
        <row r="1058">
          <cell r="F1058">
            <v>1938956</v>
          </cell>
        </row>
        <row r="1059">
          <cell r="F1059">
            <v>1938956</v>
          </cell>
        </row>
        <row r="1060">
          <cell r="F1060">
            <v>1938956</v>
          </cell>
        </row>
        <row r="1061">
          <cell r="F1061">
            <v>1938956</v>
          </cell>
        </row>
        <row r="1062">
          <cell r="F1062">
            <v>1368100</v>
          </cell>
        </row>
        <row r="1063">
          <cell r="F1063">
            <v>1368100</v>
          </cell>
        </row>
        <row r="1064">
          <cell r="F1064">
            <v>1368100</v>
          </cell>
        </row>
        <row r="1065">
          <cell r="F1065">
            <v>1368100</v>
          </cell>
        </row>
        <row r="1066">
          <cell r="F1066">
            <v>525096</v>
          </cell>
        </row>
        <row r="1067">
          <cell r="F1067">
            <v>525096</v>
          </cell>
        </row>
        <row r="1068">
          <cell r="F1068">
            <v>525096</v>
          </cell>
        </row>
        <row r="1069">
          <cell r="F1069">
            <v>525096</v>
          </cell>
        </row>
        <row r="1070">
          <cell r="F1070">
            <v>45760</v>
          </cell>
        </row>
        <row r="1071">
          <cell r="F1071">
            <v>45760</v>
          </cell>
        </row>
        <row r="1072">
          <cell r="F1072">
            <v>45760</v>
          </cell>
        </row>
        <row r="1073">
          <cell r="F1073">
            <v>45760</v>
          </cell>
        </row>
        <row r="1074">
          <cell r="F1074">
            <v>31928800</v>
          </cell>
        </row>
        <row r="1075">
          <cell r="F1075">
            <v>25777760</v>
          </cell>
        </row>
        <row r="1076">
          <cell r="F1076">
            <v>25777760</v>
          </cell>
        </row>
        <row r="1077">
          <cell r="F1077">
            <v>25777760</v>
          </cell>
        </row>
        <row r="1078">
          <cell r="F1078">
            <v>25777760</v>
          </cell>
        </row>
        <row r="1079">
          <cell r="F1079">
            <v>21102512</v>
          </cell>
        </row>
        <row r="1080">
          <cell r="F1080">
            <v>19164242</v>
          </cell>
        </row>
        <row r="1081">
          <cell r="F1081">
            <v>19164242</v>
          </cell>
        </row>
        <row r="1082">
          <cell r="F1082">
            <v>14701000</v>
          </cell>
        </row>
        <row r="1083">
          <cell r="F1083">
            <v>32600</v>
          </cell>
        </row>
        <row r="1084">
          <cell r="F1084">
            <v>4430642</v>
          </cell>
        </row>
        <row r="1085">
          <cell r="F1085">
            <v>1938270</v>
          </cell>
        </row>
        <row r="1086">
          <cell r="F1086">
            <v>1938270</v>
          </cell>
        </row>
        <row r="1087">
          <cell r="F1087">
            <v>1938270</v>
          </cell>
        </row>
        <row r="1088">
          <cell r="F1088">
            <v>1413106</v>
          </cell>
        </row>
        <row r="1089">
          <cell r="F1089">
            <v>1413106</v>
          </cell>
        </row>
        <row r="1090">
          <cell r="F1090">
            <v>1413106</v>
          </cell>
        </row>
        <row r="1091">
          <cell r="F1091">
            <v>1085335</v>
          </cell>
        </row>
        <row r="1092">
          <cell r="F1092">
            <v>327771</v>
          </cell>
        </row>
        <row r="1093">
          <cell r="F1093">
            <v>163657</v>
          </cell>
        </row>
        <row r="1094">
          <cell r="F1094">
            <v>163657</v>
          </cell>
        </row>
        <row r="1095">
          <cell r="F1095">
            <v>163657</v>
          </cell>
        </row>
        <row r="1096">
          <cell r="F1096">
            <v>163657</v>
          </cell>
        </row>
        <row r="1097">
          <cell r="F1097">
            <v>2136650</v>
          </cell>
        </row>
        <row r="1098">
          <cell r="F1098">
            <v>2136650</v>
          </cell>
        </row>
        <row r="1099">
          <cell r="F1099">
            <v>2136650</v>
          </cell>
        </row>
        <row r="1100">
          <cell r="F1100">
            <v>7650</v>
          </cell>
        </row>
        <row r="1101">
          <cell r="F1101">
            <v>2129000</v>
          </cell>
        </row>
        <row r="1102">
          <cell r="F1102">
            <v>40000</v>
          </cell>
        </row>
        <row r="1103">
          <cell r="F1103">
            <v>40000</v>
          </cell>
        </row>
        <row r="1104">
          <cell r="F1104">
            <v>40000</v>
          </cell>
        </row>
        <row r="1105">
          <cell r="F1105">
            <v>40000</v>
          </cell>
        </row>
        <row r="1106">
          <cell r="F1106">
            <v>42000</v>
          </cell>
        </row>
        <row r="1107">
          <cell r="F1107">
            <v>42000</v>
          </cell>
        </row>
        <row r="1108">
          <cell r="F1108">
            <v>42000</v>
          </cell>
        </row>
        <row r="1109">
          <cell r="F1109">
            <v>42000</v>
          </cell>
        </row>
        <row r="1110">
          <cell r="F1110">
            <v>879835</v>
          </cell>
        </row>
        <row r="1111">
          <cell r="F1111">
            <v>879835</v>
          </cell>
        </row>
        <row r="1112">
          <cell r="F1112">
            <v>879835</v>
          </cell>
        </row>
        <row r="1113">
          <cell r="F1113">
            <v>879835</v>
          </cell>
        </row>
        <row r="1114">
          <cell r="F1114">
            <v>6151040</v>
          </cell>
        </row>
        <row r="1115">
          <cell r="F1115">
            <v>6151040</v>
          </cell>
        </row>
        <row r="1116">
          <cell r="F1116">
            <v>6151040</v>
          </cell>
        </row>
        <row r="1117">
          <cell r="F1117">
            <v>6151040</v>
          </cell>
        </row>
        <row r="1118">
          <cell r="F1118">
            <v>1429800</v>
          </cell>
        </row>
        <row r="1119">
          <cell r="F1119">
            <v>881193</v>
          </cell>
        </row>
        <row r="1120">
          <cell r="F1120">
            <v>881193</v>
          </cell>
        </row>
        <row r="1121">
          <cell r="F1121">
            <v>676800</v>
          </cell>
        </row>
        <row r="1122">
          <cell r="F1122">
            <v>204393</v>
          </cell>
        </row>
        <row r="1123">
          <cell r="F1123">
            <v>548607</v>
          </cell>
        </row>
        <row r="1124">
          <cell r="F1124">
            <v>548607</v>
          </cell>
        </row>
        <row r="1125">
          <cell r="F1125">
            <v>548607</v>
          </cell>
        </row>
        <row r="1126">
          <cell r="F1126">
            <v>3870201</v>
          </cell>
        </row>
        <row r="1127">
          <cell r="F1127">
            <v>2402551</v>
          </cell>
        </row>
        <row r="1128">
          <cell r="F1128">
            <v>2402551</v>
          </cell>
        </row>
        <row r="1129">
          <cell r="F1129">
            <v>1838380</v>
          </cell>
        </row>
        <row r="1130">
          <cell r="F1130">
            <v>12000</v>
          </cell>
        </row>
        <row r="1131">
          <cell r="F1131">
            <v>552171</v>
          </cell>
        </row>
        <row r="1132">
          <cell r="F1132">
            <v>1467650</v>
          </cell>
        </row>
        <row r="1133">
          <cell r="F1133">
            <v>1467650</v>
          </cell>
        </row>
        <row r="1134">
          <cell r="F1134">
            <v>1467650</v>
          </cell>
        </row>
        <row r="1135">
          <cell r="F1135">
            <v>282524</v>
          </cell>
        </row>
        <row r="1136">
          <cell r="F1136">
            <v>282524</v>
          </cell>
        </row>
        <row r="1137">
          <cell r="F1137">
            <v>282524</v>
          </cell>
        </row>
        <row r="1138">
          <cell r="F1138">
            <v>216993</v>
          </cell>
        </row>
        <row r="1139">
          <cell r="F1139">
            <v>65531</v>
          </cell>
        </row>
        <row r="1140">
          <cell r="F1140">
            <v>40000</v>
          </cell>
        </row>
        <row r="1141">
          <cell r="F1141">
            <v>40000</v>
          </cell>
        </row>
        <row r="1142">
          <cell r="F1142">
            <v>40000</v>
          </cell>
        </row>
        <row r="1143">
          <cell r="F1143">
            <v>40000</v>
          </cell>
        </row>
        <row r="1144">
          <cell r="F1144">
            <v>528515</v>
          </cell>
        </row>
        <row r="1145">
          <cell r="F1145">
            <v>528515</v>
          </cell>
        </row>
        <row r="1146">
          <cell r="F1146">
            <v>528515</v>
          </cell>
        </row>
        <row r="1147">
          <cell r="F1147">
            <v>528515</v>
          </cell>
        </row>
        <row r="1148">
          <cell r="F1148">
            <v>116707428</v>
          </cell>
        </row>
        <row r="1149">
          <cell r="F1149">
            <v>22599378</v>
          </cell>
        </row>
        <row r="1150">
          <cell r="F1150">
            <v>20196878</v>
          </cell>
        </row>
        <row r="1151">
          <cell r="F1151">
            <v>20196878</v>
          </cell>
        </row>
        <row r="1152">
          <cell r="F1152">
            <v>20196878</v>
          </cell>
        </row>
        <row r="1153">
          <cell r="F1153">
            <v>15857762</v>
          </cell>
        </row>
        <row r="1154">
          <cell r="F1154">
            <v>14124968</v>
          </cell>
        </row>
        <row r="1155">
          <cell r="F1155">
            <v>14124968</v>
          </cell>
        </row>
        <row r="1156">
          <cell r="F1156">
            <v>10758209</v>
          </cell>
        </row>
        <row r="1157">
          <cell r="F1157">
            <v>105700</v>
          </cell>
        </row>
        <row r="1158">
          <cell r="F1158">
            <v>3261059</v>
          </cell>
        </row>
        <row r="1159">
          <cell r="F1159">
            <v>1720294</v>
          </cell>
        </row>
        <row r="1160">
          <cell r="F1160">
            <v>1720294</v>
          </cell>
        </row>
        <row r="1161">
          <cell r="F1161">
            <v>1720294</v>
          </cell>
        </row>
        <row r="1162">
          <cell r="F1162">
            <v>12500</v>
          </cell>
        </row>
        <row r="1163">
          <cell r="F1163">
            <v>12500</v>
          </cell>
        </row>
        <row r="1164">
          <cell r="F1164">
            <v>12500</v>
          </cell>
        </row>
        <row r="1165">
          <cell r="F1165">
            <v>704000</v>
          </cell>
        </row>
        <row r="1166">
          <cell r="F1166">
            <v>704000</v>
          </cell>
        </row>
        <row r="1167">
          <cell r="F1167">
            <v>704000</v>
          </cell>
        </row>
        <row r="1168">
          <cell r="F1168">
            <v>540707</v>
          </cell>
        </row>
        <row r="1169">
          <cell r="F1169">
            <v>163293</v>
          </cell>
        </row>
        <row r="1170">
          <cell r="F1170">
            <v>361140</v>
          </cell>
        </row>
        <row r="1171">
          <cell r="F1171">
            <v>361140</v>
          </cell>
        </row>
        <row r="1172">
          <cell r="F1172">
            <v>361140</v>
          </cell>
        </row>
        <row r="1173">
          <cell r="F1173">
            <v>361140</v>
          </cell>
        </row>
        <row r="1174">
          <cell r="F1174">
            <v>1682095</v>
          </cell>
        </row>
        <row r="1175">
          <cell r="F1175">
            <v>1682095</v>
          </cell>
        </row>
        <row r="1176">
          <cell r="F1176">
            <v>1682095</v>
          </cell>
        </row>
        <row r="1177">
          <cell r="F1177">
            <v>1291932</v>
          </cell>
        </row>
        <row r="1178">
          <cell r="F1178">
            <v>390163</v>
          </cell>
        </row>
        <row r="1179">
          <cell r="F1179">
            <v>657685</v>
          </cell>
        </row>
        <row r="1180">
          <cell r="F1180">
            <v>657685</v>
          </cell>
        </row>
        <row r="1181">
          <cell r="F1181">
            <v>657685</v>
          </cell>
        </row>
        <row r="1182">
          <cell r="F1182">
            <v>13710</v>
          </cell>
        </row>
        <row r="1183">
          <cell r="F1183">
            <v>643975</v>
          </cell>
        </row>
        <row r="1184">
          <cell r="F1184">
            <v>5525</v>
          </cell>
        </row>
        <row r="1185">
          <cell r="F1185">
            <v>5525</v>
          </cell>
        </row>
        <row r="1186">
          <cell r="F1186">
            <v>5525</v>
          </cell>
        </row>
        <row r="1187">
          <cell r="F1187">
            <v>5525</v>
          </cell>
        </row>
        <row r="1188">
          <cell r="F1188">
            <v>225348</v>
          </cell>
        </row>
        <row r="1189">
          <cell r="F1189">
            <v>225348</v>
          </cell>
        </row>
        <row r="1190">
          <cell r="F1190">
            <v>225348</v>
          </cell>
        </row>
        <row r="1191">
          <cell r="F1191">
            <v>225348</v>
          </cell>
        </row>
        <row r="1192">
          <cell r="F1192">
            <v>680323</v>
          </cell>
        </row>
        <row r="1193">
          <cell r="F1193">
            <v>680323</v>
          </cell>
        </row>
        <row r="1194">
          <cell r="F1194">
            <v>680323</v>
          </cell>
        </row>
        <row r="1195">
          <cell r="F1195">
            <v>522522</v>
          </cell>
        </row>
        <row r="1196">
          <cell r="F1196">
            <v>157801</v>
          </cell>
        </row>
        <row r="1197">
          <cell r="F1197">
            <v>23000</v>
          </cell>
        </row>
        <row r="1198">
          <cell r="F1198">
            <v>23000</v>
          </cell>
        </row>
        <row r="1199">
          <cell r="F1199">
            <v>23000</v>
          </cell>
        </row>
        <row r="1200">
          <cell r="F1200">
            <v>23000</v>
          </cell>
        </row>
        <row r="1201">
          <cell r="F1201">
            <v>2000000</v>
          </cell>
        </row>
        <row r="1202">
          <cell r="F1202">
            <v>2000000</v>
          </cell>
        </row>
        <row r="1203">
          <cell r="F1203">
            <v>2000000</v>
          </cell>
        </row>
        <row r="1204">
          <cell r="F1204">
            <v>2000000</v>
          </cell>
        </row>
        <row r="1205">
          <cell r="F1205">
            <v>2000000</v>
          </cell>
        </row>
        <row r="1206">
          <cell r="F1206">
            <v>2000000</v>
          </cell>
        </row>
        <row r="1207">
          <cell r="F1207">
            <v>402500</v>
          </cell>
        </row>
        <row r="1208">
          <cell r="F1208">
            <v>302500</v>
          </cell>
        </row>
        <row r="1209">
          <cell r="F1209">
            <v>302500</v>
          </cell>
        </row>
        <row r="1210">
          <cell r="F1210">
            <v>302500</v>
          </cell>
        </row>
        <row r="1211">
          <cell r="F1211">
            <v>302500</v>
          </cell>
        </row>
        <row r="1212">
          <cell r="F1212">
            <v>302500</v>
          </cell>
        </row>
        <row r="1213">
          <cell r="F1213">
            <v>100000</v>
          </cell>
        </row>
        <row r="1214">
          <cell r="F1214">
            <v>100000</v>
          </cell>
        </row>
        <row r="1215">
          <cell r="F1215">
            <v>100000</v>
          </cell>
        </row>
        <row r="1216">
          <cell r="F1216">
            <v>100000</v>
          </cell>
        </row>
        <row r="1217">
          <cell r="F1217">
            <v>100000</v>
          </cell>
        </row>
        <row r="1218">
          <cell r="F1218">
            <v>100000</v>
          </cell>
        </row>
        <row r="1219">
          <cell r="F1219">
            <v>5768500</v>
          </cell>
        </row>
        <row r="1220">
          <cell r="F1220">
            <v>5768500</v>
          </cell>
        </row>
        <row r="1221">
          <cell r="F1221">
            <v>5768500</v>
          </cell>
        </row>
        <row r="1222">
          <cell r="F1222">
            <v>5768500</v>
          </cell>
        </row>
        <row r="1223">
          <cell r="F1223">
            <v>5768500</v>
          </cell>
        </row>
        <row r="1224">
          <cell r="F1224">
            <v>5768500</v>
          </cell>
        </row>
        <row r="1225">
          <cell r="F1225">
            <v>5768500</v>
          </cell>
        </row>
        <row r="1226">
          <cell r="F1226">
            <v>4874750</v>
          </cell>
        </row>
        <row r="1227">
          <cell r="F1227">
            <v>4874750</v>
          </cell>
        </row>
        <row r="1228">
          <cell r="F1228">
            <v>4874750</v>
          </cell>
        </row>
        <row r="1229">
          <cell r="F1229">
            <v>4874750</v>
          </cell>
        </row>
        <row r="1230">
          <cell r="F1230">
            <v>4874750</v>
          </cell>
        </row>
        <row r="1231">
          <cell r="F1231">
            <v>4874750</v>
          </cell>
        </row>
        <row r="1232">
          <cell r="F1232">
            <v>4874750</v>
          </cell>
        </row>
        <row r="1233">
          <cell r="F1233">
            <v>2500000</v>
          </cell>
        </row>
        <row r="1234">
          <cell r="F1234">
            <v>2500000</v>
          </cell>
        </row>
        <row r="1235">
          <cell r="F1235">
            <v>2500000</v>
          </cell>
        </row>
        <row r="1236">
          <cell r="F1236">
            <v>2500000</v>
          </cell>
        </row>
        <row r="1237">
          <cell r="F1237">
            <v>2500000</v>
          </cell>
        </row>
        <row r="1238">
          <cell r="F1238">
            <v>2500000</v>
          </cell>
        </row>
        <row r="1239">
          <cell r="F1239">
            <v>2500000</v>
          </cell>
        </row>
        <row r="1240">
          <cell r="F1240">
            <v>80964800</v>
          </cell>
        </row>
        <row r="1241">
          <cell r="F1241">
            <v>62824800</v>
          </cell>
        </row>
        <row r="1242">
          <cell r="F1242">
            <v>62824800</v>
          </cell>
        </row>
        <row r="1243">
          <cell r="F1243">
            <v>62824800</v>
          </cell>
        </row>
        <row r="1244">
          <cell r="F1244">
            <v>37664800</v>
          </cell>
        </row>
        <row r="1245">
          <cell r="F1245">
            <v>37664800</v>
          </cell>
        </row>
        <row r="1246">
          <cell r="F1246">
            <v>37664800</v>
          </cell>
        </row>
        <row r="1247">
          <cell r="F1247">
            <v>37664800</v>
          </cell>
        </row>
        <row r="1248">
          <cell r="F1248">
            <v>25160000</v>
          </cell>
        </row>
        <row r="1249">
          <cell r="F1249">
            <v>25160000</v>
          </cell>
        </row>
        <row r="1250">
          <cell r="F1250">
            <v>25160000</v>
          </cell>
        </row>
        <row r="1251">
          <cell r="F1251">
            <v>25160000</v>
          </cell>
        </row>
        <row r="1252">
          <cell r="F1252">
            <v>18140000</v>
          </cell>
        </row>
        <row r="1253">
          <cell r="F1253">
            <v>18140000</v>
          </cell>
        </row>
        <row r="1254">
          <cell r="F1254">
            <v>18140000</v>
          </cell>
        </row>
        <row r="1255">
          <cell r="F1255">
            <v>18140000</v>
          </cell>
        </row>
        <row r="1256">
          <cell r="F1256">
            <v>18140000</v>
          </cell>
        </row>
        <row r="1257">
          <cell r="F1257">
            <v>18140000</v>
          </cell>
        </row>
        <row r="1258">
          <cell r="F1258">
            <v>30000000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Лист2">
    <tabColor rgb="FF92D050"/>
  </sheetPr>
  <dimension ref="A1:E19"/>
  <sheetViews>
    <sheetView workbookViewId="0">
      <selection activeCell="B15" sqref="B15"/>
    </sheetView>
  </sheetViews>
  <sheetFormatPr defaultRowHeight="46.5" customHeight="1"/>
  <cols>
    <col min="1" max="1" width="28.5703125" style="52" customWidth="1"/>
    <col min="2" max="2" width="61" style="52" customWidth="1"/>
    <col min="3" max="3" width="17.7109375" style="52" customWidth="1"/>
    <col min="4" max="4" width="18" style="52" bestFit="1" customWidth="1"/>
    <col min="5" max="5" width="17.5703125" style="52" customWidth="1"/>
    <col min="6" max="16384" width="9.140625" style="52"/>
  </cols>
  <sheetData>
    <row r="1" spans="1:5" ht="45" customHeight="1">
      <c r="A1" s="485" t="str">
        <f>"Приложение "&amp;Н1деф&amp;" к решению
Богучанского районного Совета депутатов
от "&amp;Р1дата&amp;" года №"&amp;Р1номер</f>
        <v>Приложение 1 к решению
Богучанского районного Совета депутатов
от  года №</v>
      </c>
      <c r="B1" s="485"/>
      <c r="C1" s="485"/>
      <c r="D1" s="485"/>
      <c r="E1" s="485"/>
    </row>
    <row r="2" spans="1:5" ht="33" customHeight="1">
      <c r="A2" s="484" t="str">
        <f>"Источники внутреннего финансирования дефицита районного бюджета за "&amp;год&amp;" год "</f>
        <v xml:space="preserve">Источники внутреннего финансирования дефицита районного бюджета за 2022 год </v>
      </c>
      <c r="B2" s="484"/>
      <c r="C2" s="484"/>
      <c r="D2" s="484"/>
      <c r="E2" s="484"/>
    </row>
    <row r="3" spans="1:5" ht="17.25" customHeight="1">
      <c r="B3" s="105"/>
      <c r="C3" s="105"/>
      <c r="E3" s="234" t="s">
        <v>69</v>
      </c>
    </row>
    <row r="4" spans="1:5" ht="28.5" customHeight="1">
      <c r="A4" s="405" t="s">
        <v>113</v>
      </c>
      <c r="B4" s="405" t="s">
        <v>114</v>
      </c>
      <c r="C4" s="75" t="s">
        <v>2264</v>
      </c>
      <c r="D4" s="75" t="s">
        <v>2265</v>
      </c>
      <c r="E4" s="75" t="s">
        <v>2263</v>
      </c>
    </row>
    <row r="5" spans="1:5" ht="28.5">
      <c r="A5" s="45" t="s">
        <v>115</v>
      </c>
      <c r="B5" s="16" t="s">
        <v>116</v>
      </c>
      <c r="C5" s="76">
        <f>SUM(C6+C11)</f>
        <v>85189473.779999733</v>
      </c>
      <c r="D5" s="76">
        <f>SUM(D6+D11)</f>
        <v>25539397.470000267</v>
      </c>
      <c r="E5" s="76">
        <f>D5/C5*100</f>
        <v>29.979522512318006</v>
      </c>
    </row>
    <row r="6" spans="1:5" ht="28.5">
      <c r="A6" s="142" t="s">
        <v>440</v>
      </c>
      <c r="B6" s="16" t="s">
        <v>117</v>
      </c>
      <c r="C6" s="76">
        <f>C7-C9</f>
        <v>16200000</v>
      </c>
      <c r="D6" s="76">
        <f>D7-D9</f>
        <v>16200000</v>
      </c>
      <c r="E6" s="76">
        <f t="shared" ref="E6:E19" si="0">D6/C6*100</f>
        <v>100</v>
      </c>
    </row>
    <row r="7" spans="1:5" ht="42.75">
      <c r="A7" s="45" t="s">
        <v>118</v>
      </c>
      <c r="B7" s="16" t="s">
        <v>119</v>
      </c>
      <c r="C7" s="76">
        <f>C8</f>
        <v>16200000</v>
      </c>
      <c r="D7" s="76">
        <f>D8</f>
        <v>16200000</v>
      </c>
      <c r="E7" s="76">
        <f t="shared" si="0"/>
        <v>100</v>
      </c>
    </row>
    <row r="8" spans="1:5" ht="42.75">
      <c r="A8" s="45" t="s">
        <v>1124</v>
      </c>
      <c r="B8" s="16" t="s">
        <v>173</v>
      </c>
      <c r="C8" s="76">
        <f>12100000+11900000-7800000</f>
        <v>16200000</v>
      </c>
      <c r="D8" s="76">
        <v>16200000</v>
      </c>
      <c r="E8" s="76">
        <f t="shared" si="0"/>
        <v>100</v>
      </c>
    </row>
    <row r="9" spans="1:5" ht="42.75">
      <c r="A9" s="45" t="s">
        <v>174</v>
      </c>
      <c r="B9" s="16" t="s">
        <v>175</v>
      </c>
      <c r="C9" s="76">
        <f>C10</f>
        <v>0</v>
      </c>
      <c r="D9" s="76">
        <f>D10</f>
        <v>0</v>
      </c>
      <c r="E9" s="76">
        <v>0</v>
      </c>
    </row>
    <row r="10" spans="1:5" ht="42.75">
      <c r="A10" s="45" t="s">
        <v>1125</v>
      </c>
      <c r="B10" s="16" t="s">
        <v>36</v>
      </c>
      <c r="C10" s="76">
        <v>0</v>
      </c>
      <c r="D10" s="76">
        <v>0</v>
      </c>
      <c r="E10" s="76">
        <v>0</v>
      </c>
    </row>
    <row r="11" spans="1:5" ht="28.5">
      <c r="A11" s="45" t="s">
        <v>176</v>
      </c>
      <c r="B11" s="16" t="s">
        <v>147</v>
      </c>
      <c r="C11" s="76">
        <f>-C12+C16</f>
        <v>68989473.779999733</v>
      </c>
      <c r="D11" s="76">
        <f>-D12+D16</f>
        <v>9339397.470000267</v>
      </c>
      <c r="E11" s="76">
        <f t="shared" si="0"/>
        <v>13.537423839153542</v>
      </c>
    </row>
    <row r="12" spans="1:5" ht="14.25">
      <c r="A12" s="45" t="s">
        <v>148</v>
      </c>
      <c r="B12" s="16" t="s">
        <v>93</v>
      </c>
      <c r="C12" s="76">
        <f>C13</f>
        <v>3009972423.9700003</v>
      </c>
      <c r="D12" s="76">
        <f t="shared" ref="D12:D14" si="1">D13</f>
        <v>2949547540.3699999</v>
      </c>
      <c r="E12" s="76">
        <f t="shared" si="0"/>
        <v>97.992510392493799</v>
      </c>
    </row>
    <row r="13" spans="1:5" ht="14.25">
      <c r="A13" s="45" t="s">
        <v>149</v>
      </c>
      <c r="B13" s="16" t="s">
        <v>94</v>
      </c>
      <c r="C13" s="77">
        <f>C14</f>
        <v>3009972423.9700003</v>
      </c>
      <c r="D13" s="77">
        <f t="shared" si="1"/>
        <v>2949547540.3699999</v>
      </c>
      <c r="E13" s="76">
        <f t="shared" si="0"/>
        <v>97.992510392493799</v>
      </c>
    </row>
    <row r="14" spans="1:5" ht="14.25">
      <c r="A14" s="45" t="s">
        <v>150</v>
      </c>
      <c r="B14" s="16" t="s">
        <v>190</v>
      </c>
      <c r="C14" s="76">
        <f>C15</f>
        <v>3009972423.9700003</v>
      </c>
      <c r="D14" s="76">
        <f t="shared" si="1"/>
        <v>2949547540.3699999</v>
      </c>
      <c r="E14" s="76">
        <f t="shared" si="0"/>
        <v>97.992510392493799</v>
      </c>
    </row>
    <row r="15" spans="1:5" ht="28.5">
      <c r="A15" s="45" t="s">
        <v>191</v>
      </c>
      <c r="B15" s="16" t="s">
        <v>154</v>
      </c>
      <c r="C15" s="76">
        <f>'Дох '!I305+C7</f>
        <v>3009972423.9700003</v>
      </c>
      <c r="D15" s="76">
        <f>'Дох '!J305+D7</f>
        <v>2949547540.3699999</v>
      </c>
      <c r="E15" s="76">
        <f t="shared" si="0"/>
        <v>97.992510392493799</v>
      </c>
    </row>
    <row r="16" spans="1:5" ht="14.25">
      <c r="A16" s="45" t="s">
        <v>155</v>
      </c>
      <c r="B16" s="16" t="s">
        <v>95</v>
      </c>
      <c r="C16" s="76">
        <f>C17</f>
        <v>3078961897.75</v>
      </c>
      <c r="D16" s="76">
        <f t="shared" ref="D16:D18" si="2">D17</f>
        <v>2958886937.8400002</v>
      </c>
      <c r="E16" s="76">
        <f t="shared" si="0"/>
        <v>96.100147910315272</v>
      </c>
    </row>
    <row r="17" spans="1:5" ht="14.25">
      <c r="A17" s="16" t="s">
        <v>156</v>
      </c>
      <c r="B17" s="16" t="s">
        <v>96</v>
      </c>
      <c r="C17" s="78">
        <f>C18</f>
        <v>3078961897.75</v>
      </c>
      <c r="D17" s="78">
        <f t="shared" si="2"/>
        <v>2958886937.8400002</v>
      </c>
      <c r="E17" s="76">
        <f t="shared" si="0"/>
        <v>96.100147910315272</v>
      </c>
    </row>
    <row r="18" spans="1:5" ht="14.25">
      <c r="A18" s="16" t="s">
        <v>157</v>
      </c>
      <c r="B18" s="16" t="s">
        <v>158</v>
      </c>
      <c r="C18" s="78">
        <f>C19</f>
        <v>3078961897.75</v>
      </c>
      <c r="D18" s="78">
        <f t="shared" si="2"/>
        <v>2958886937.8400002</v>
      </c>
      <c r="E18" s="76">
        <f t="shared" si="0"/>
        <v>96.100147910315272</v>
      </c>
    </row>
    <row r="19" spans="1:5" ht="28.5">
      <c r="A19" s="45" t="s">
        <v>159</v>
      </c>
      <c r="B19" s="16" t="s">
        <v>160</v>
      </c>
      <c r="C19" s="76">
        <f>Вед22!F6+C9</f>
        <v>3078961897.75</v>
      </c>
      <c r="D19" s="76">
        <f>Вед22!G6+D9</f>
        <v>2958886937.8400002</v>
      </c>
      <c r="E19" s="76">
        <f t="shared" si="0"/>
        <v>96.100147910315272</v>
      </c>
    </row>
  </sheetData>
  <mergeCells count="2">
    <mergeCell ref="A2:E2"/>
    <mergeCell ref="A1:E1"/>
  </mergeCells>
  <phoneticPr fontId="3" type="noConversion"/>
  <pageMargins left="0.98425196850393704" right="0.23622047244094491" top="0.46" bottom="0.37" header="0.19685039370078741" footer="0.31496062992125984"/>
  <pageSetup paperSize="9" scale="90" fitToHeight="0" orientation="landscape" r:id="rId1"/>
  <headerFooter alignWithMargins="0"/>
</worksheet>
</file>

<file path=xl/worksheets/sheet10.xml><?xml version="1.0" encoding="utf-8"?>
<worksheet xmlns="http://schemas.openxmlformats.org/spreadsheetml/2006/main" xmlns:r="http://schemas.openxmlformats.org/officeDocument/2006/relationships">
  <sheetPr>
    <tabColor rgb="FF92D050"/>
  </sheetPr>
  <dimension ref="A1:H1811"/>
  <sheetViews>
    <sheetView zoomScaleNormal="100" workbookViewId="0">
      <selection activeCell="A2" sqref="A2:G2"/>
    </sheetView>
  </sheetViews>
  <sheetFormatPr defaultRowHeight="12.75"/>
  <cols>
    <col min="1" max="1" width="53.42578125" style="3" customWidth="1"/>
    <col min="2" max="2" width="12.85546875" style="121" customWidth="1"/>
    <col min="3" max="3" width="6.42578125" style="3" customWidth="1"/>
    <col min="4" max="4" width="7.140625" style="3" customWidth="1"/>
    <col min="5" max="5" width="17" style="19" customWidth="1"/>
    <col min="6" max="6" width="16.7109375" style="3" customWidth="1"/>
    <col min="7" max="7" width="11.140625" style="3" customWidth="1"/>
    <col min="8" max="16384" width="9.140625" style="3"/>
  </cols>
  <sheetData>
    <row r="1" spans="1:7" ht="41.25" customHeight="1">
      <c r="A1" s="485" t="str">
        <f>"Приложение "&amp;Н1цср&amp;" к решению
Богучанского районного Совета депутатов
от "&amp;Р1дата&amp;" года №"&amp;Р1номер</f>
        <v>Приложение 5 к решению
Богучанского районного Совета депутатов
от  года №</v>
      </c>
      <c r="B1" s="485"/>
      <c r="C1" s="485"/>
      <c r="D1" s="485"/>
      <c r="E1" s="485"/>
      <c r="F1" s="485"/>
      <c r="G1" s="485"/>
    </row>
    <row r="2" spans="1:7" ht="79.5" customHeight="1">
      <c r="A2" s="484" t="str">
        <f>"Распределение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за "&amp;год&amp;" год"</f>
        <v>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за 2022 год</v>
      </c>
      <c r="B2" s="484"/>
      <c r="C2" s="484"/>
      <c r="D2" s="484"/>
      <c r="E2" s="484"/>
      <c r="F2" s="484"/>
      <c r="G2" s="484"/>
    </row>
    <row r="3" spans="1:7">
      <c r="G3" s="8" t="s">
        <v>69</v>
      </c>
    </row>
    <row r="4" spans="1:7">
      <c r="A4" s="513" t="s">
        <v>1335</v>
      </c>
      <c r="B4" s="521" t="s">
        <v>177</v>
      </c>
      <c r="C4" s="524"/>
      <c r="D4" s="522"/>
      <c r="E4" s="518" t="s">
        <v>2264</v>
      </c>
      <c r="F4" s="511" t="s">
        <v>2265</v>
      </c>
      <c r="G4" s="511" t="s">
        <v>2263</v>
      </c>
    </row>
    <row r="5" spans="1:7" ht="51">
      <c r="A5" s="514"/>
      <c r="B5" s="122" t="s">
        <v>1333</v>
      </c>
      <c r="C5" s="250" t="s">
        <v>1334</v>
      </c>
      <c r="D5" s="250" t="s">
        <v>1337</v>
      </c>
      <c r="E5" s="519"/>
      <c r="F5" s="511"/>
      <c r="G5" s="511"/>
    </row>
    <row r="6" spans="1:7" s="11" customFormat="1">
      <c r="A6" s="241" t="s">
        <v>167</v>
      </c>
      <c r="B6" s="242"/>
      <c r="C6" s="242"/>
      <c r="D6" s="242"/>
      <c r="E6" s="453">
        <v>3078961897.75</v>
      </c>
      <c r="F6" s="451">
        <v>2958886937.8400002</v>
      </c>
      <c r="G6" s="459">
        <f>F6/E6*100</f>
        <v>96.100147910315272</v>
      </c>
    </row>
    <row r="7" spans="1:7" ht="25.5">
      <c r="A7" s="241" t="s">
        <v>442</v>
      </c>
      <c r="B7" s="242" t="s">
        <v>971</v>
      </c>
      <c r="C7" s="242"/>
      <c r="D7" s="242"/>
      <c r="E7" s="453">
        <v>1741019212.3</v>
      </c>
      <c r="F7" s="451">
        <v>1703024660.3299999</v>
      </c>
      <c r="G7" s="459">
        <f t="shared" ref="G7:G70" si="0">F7/E7*100</f>
        <v>97.817683360322789</v>
      </c>
    </row>
    <row r="8" spans="1:7" ht="25.5">
      <c r="A8" s="241" t="s">
        <v>443</v>
      </c>
      <c r="B8" s="242" t="s">
        <v>972</v>
      </c>
      <c r="C8" s="242"/>
      <c r="D8" s="242"/>
      <c r="E8" s="453">
        <v>1627247507.5599999</v>
      </c>
      <c r="F8" s="451">
        <v>1593417150.96</v>
      </c>
      <c r="G8" s="459">
        <f t="shared" si="0"/>
        <v>97.921007318012286</v>
      </c>
    </row>
    <row r="9" spans="1:7" ht="102">
      <c r="A9" s="241" t="s">
        <v>2254</v>
      </c>
      <c r="B9" s="242" t="s">
        <v>2255</v>
      </c>
      <c r="C9" s="242"/>
      <c r="D9" s="242"/>
      <c r="E9" s="453">
        <v>533500</v>
      </c>
      <c r="F9" s="451">
        <v>167045.6</v>
      </c>
      <c r="G9" s="459">
        <f t="shared" si="0"/>
        <v>31.311265229615749</v>
      </c>
    </row>
    <row r="10" spans="1:7" ht="25.5">
      <c r="A10" s="241" t="s">
        <v>1319</v>
      </c>
      <c r="B10" s="242" t="s">
        <v>2255</v>
      </c>
      <c r="C10" s="242" t="s">
        <v>1320</v>
      </c>
      <c r="D10" s="242"/>
      <c r="E10" s="453">
        <v>533500</v>
      </c>
      <c r="F10" s="451">
        <v>167045.6</v>
      </c>
      <c r="G10" s="459">
        <f t="shared" si="0"/>
        <v>31.311265229615749</v>
      </c>
    </row>
    <row r="11" spans="1:7" ht="25.5">
      <c r="A11" s="241" t="s">
        <v>1196</v>
      </c>
      <c r="B11" s="242" t="s">
        <v>2255</v>
      </c>
      <c r="C11" s="242" t="s">
        <v>1197</v>
      </c>
      <c r="D11" s="242"/>
      <c r="E11" s="453">
        <v>533500</v>
      </c>
      <c r="F11" s="451">
        <v>167045.6</v>
      </c>
      <c r="G11" s="459">
        <f t="shared" si="0"/>
        <v>31.311265229615749</v>
      </c>
    </row>
    <row r="12" spans="1:7">
      <c r="A12" s="241" t="s">
        <v>140</v>
      </c>
      <c r="B12" s="242" t="s">
        <v>2255</v>
      </c>
      <c r="C12" s="242" t="s">
        <v>1197</v>
      </c>
      <c r="D12" s="242" t="s">
        <v>1142</v>
      </c>
      <c r="E12" s="453">
        <v>533500</v>
      </c>
      <c r="F12" s="451">
        <v>167045.6</v>
      </c>
      <c r="G12" s="459">
        <f t="shared" si="0"/>
        <v>31.311265229615749</v>
      </c>
    </row>
    <row r="13" spans="1:7">
      <c r="A13" s="241" t="s">
        <v>152</v>
      </c>
      <c r="B13" s="242" t="s">
        <v>2255</v>
      </c>
      <c r="C13" s="242" t="s">
        <v>1197</v>
      </c>
      <c r="D13" s="242" t="s">
        <v>408</v>
      </c>
      <c r="E13" s="453">
        <v>84000</v>
      </c>
      <c r="F13" s="451">
        <v>84000</v>
      </c>
      <c r="G13" s="459">
        <f t="shared" si="0"/>
        <v>100</v>
      </c>
    </row>
    <row r="14" spans="1:7">
      <c r="A14" s="241" t="s">
        <v>153</v>
      </c>
      <c r="B14" s="242" t="s">
        <v>2255</v>
      </c>
      <c r="C14" s="242" t="s">
        <v>1197</v>
      </c>
      <c r="D14" s="242" t="s">
        <v>395</v>
      </c>
      <c r="E14" s="453">
        <v>449500</v>
      </c>
      <c r="F14" s="451">
        <v>83045.600000000006</v>
      </c>
      <c r="G14" s="459">
        <f t="shared" si="0"/>
        <v>18.475105672969967</v>
      </c>
    </row>
    <row r="15" spans="1:7" ht="89.25">
      <c r="A15" s="241" t="s">
        <v>2228</v>
      </c>
      <c r="B15" s="242" t="s">
        <v>2229</v>
      </c>
      <c r="C15" s="242"/>
      <c r="D15" s="242"/>
      <c r="E15" s="453">
        <v>18662651</v>
      </c>
      <c r="F15" s="451">
        <v>18650261.420000002</v>
      </c>
      <c r="G15" s="459">
        <f t="shared" si="0"/>
        <v>99.933612968489854</v>
      </c>
    </row>
    <row r="16" spans="1:7" ht="63.75">
      <c r="A16" s="241" t="s">
        <v>1318</v>
      </c>
      <c r="B16" s="242" t="s">
        <v>2229</v>
      </c>
      <c r="C16" s="242" t="s">
        <v>273</v>
      </c>
      <c r="D16" s="242"/>
      <c r="E16" s="453">
        <v>18662651</v>
      </c>
      <c r="F16" s="451">
        <v>18650261.420000002</v>
      </c>
      <c r="G16" s="459">
        <f t="shared" si="0"/>
        <v>99.933612968489854</v>
      </c>
    </row>
    <row r="17" spans="1:7">
      <c r="A17" s="241" t="s">
        <v>1190</v>
      </c>
      <c r="B17" s="242" t="s">
        <v>2229</v>
      </c>
      <c r="C17" s="242" t="s">
        <v>133</v>
      </c>
      <c r="D17" s="242"/>
      <c r="E17" s="453">
        <v>18662651</v>
      </c>
      <c r="F17" s="451">
        <v>18650261.420000002</v>
      </c>
      <c r="G17" s="459">
        <f t="shared" si="0"/>
        <v>99.933612968489854</v>
      </c>
    </row>
    <row r="18" spans="1:7">
      <c r="A18" s="241" t="s">
        <v>140</v>
      </c>
      <c r="B18" s="242" t="s">
        <v>2229</v>
      </c>
      <c r="C18" s="242" t="s">
        <v>133</v>
      </c>
      <c r="D18" s="242" t="s">
        <v>1142</v>
      </c>
      <c r="E18" s="453">
        <v>18662651</v>
      </c>
      <c r="F18" s="451">
        <v>18650261.420000002</v>
      </c>
      <c r="G18" s="459">
        <f t="shared" si="0"/>
        <v>99.933612968489854</v>
      </c>
    </row>
    <row r="19" spans="1:7">
      <c r="A19" s="241" t="s">
        <v>152</v>
      </c>
      <c r="B19" s="242" t="s">
        <v>2229</v>
      </c>
      <c r="C19" s="242" t="s">
        <v>133</v>
      </c>
      <c r="D19" s="242" t="s">
        <v>408</v>
      </c>
      <c r="E19" s="453">
        <v>299460</v>
      </c>
      <c r="F19" s="451">
        <v>299459.36</v>
      </c>
      <c r="G19" s="459">
        <f t="shared" si="0"/>
        <v>99.99978628197421</v>
      </c>
    </row>
    <row r="20" spans="1:7">
      <c r="A20" s="241" t="s">
        <v>153</v>
      </c>
      <c r="B20" s="242" t="s">
        <v>2229</v>
      </c>
      <c r="C20" s="242" t="s">
        <v>133</v>
      </c>
      <c r="D20" s="242" t="s">
        <v>395</v>
      </c>
      <c r="E20" s="453">
        <v>18363191</v>
      </c>
      <c r="F20" s="451">
        <v>18350802.059999999</v>
      </c>
      <c r="G20" s="459">
        <f t="shared" si="0"/>
        <v>99.932533839026121</v>
      </c>
    </row>
    <row r="21" spans="1:7" ht="76.5">
      <c r="A21" s="241" t="s">
        <v>2098</v>
      </c>
      <c r="B21" s="242" t="s">
        <v>2099</v>
      </c>
      <c r="C21" s="242"/>
      <c r="D21" s="242"/>
      <c r="E21" s="453">
        <v>709600</v>
      </c>
      <c r="F21" s="451">
        <v>709600</v>
      </c>
      <c r="G21" s="459">
        <f t="shared" si="0"/>
        <v>100</v>
      </c>
    </row>
    <row r="22" spans="1:7" ht="25.5">
      <c r="A22" s="241" t="s">
        <v>1327</v>
      </c>
      <c r="B22" s="242" t="s">
        <v>2099</v>
      </c>
      <c r="C22" s="242" t="s">
        <v>1328</v>
      </c>
      <c r="D22" s="242"/>
      <c r="E22" s="453">
        <v>709600</v>
      </c>
      <c r="F22" s="451">
        <v>709600</v>
      </c>
      <c r="G22" s="459">
        <f t="shared" si="0"/>
        <v>100</v>
      </c>
    </row>
    <row r="23" spans="1:7">
      <c r="A23" s="241" t="s">
        <v>1198</v>
      </c>
      <c r="B23" s="242" t="s">
        <v>2099</v>
      </c>
      <c r="C23" s="242" t="s">
        <v>1199</v>
      </c>
      <c r="D23" s="242"/>
      <c r="E23" s="453">
        <v>709600</v>
      </c>
      <c r="F23" s="451">
        <v>709600</v>
      </c>
      <c r="G23" s="459">
        <f t="shared" si="0"/>
        <v>100</v>
      </c>
    </row>
    <row r="24" spans="1:7">
      <c r="A24" s="241" t="s">
        <v>140</v>
      </c>
      <c r="B24" s="242" t="s">
        <v>2099</v>
      </c>
      <c r="C24" s="242" t="s">
        <v>1199</v>
      </c>
      <c r="D24" s="242" t="s">
        <v>1142</v>
      </c>
      <c r="E24" s="453">
        <v>709600</v>
      </c>
      <c r="F24" s="451">
        <v>709600</v>
      </c>
      <c r="G24" s="459">
        <f t="shared" si="0"/>
        <v>100</v>
      </c>
    </row>
    <row r="25" spans="1:7">
      <c r="A25" s="241" t="s">
        <v>1077</v>
      </c>
      <c r="B25" s="242" t="s">
        <v>2099</v>
      </c>
      <c r="C25" s="242" t="s">
        <v>1199</v>
      </c>
      <c r="D25" s="242" t="s">
        <v>1078</v>
      </c>
      <c r="E25" s="453">
        <v>709600</v>
      </c>
      <c r="F25" s="451">
        <v>709600</v>
      </c>
      <c r="G25" s="459">
        <f t="shared" si="0"/>
        <v>100</v>
      </c>
    </row>
    <row r="26" spans="1:7" ht="127.5">
      <c r="A26" s="241" t="s">
        <v>2088</v>
      </c>
      <c r="B26" s="242" t="s">
        <v>2089</v>
      </c>
      <c r="C26" s="242"/>
      <c r="D26" s="242"/>
      <c r="E26" s="453">
        <v>27870680</v>
      </c>
      <c r="F26" s="451">
        <v>27863052.609999999</v>
      </c>
      <c r="G26" s="459">
        <f t="shared" si="0"/>
        <v>99.972632924636201</v>
      </c>
    </row>
    <row r="27" spans="1:7" ht="63.75">
      <c r="A27" s="241" t="s">
        <v>1318</v>
      </c>
      <c r="B27" s="242" t="s">
        <v>2089</v>
      </c>
      <c r="C27" s="242" t="s">
        <v>273</v>
      </c>
      <c r="D27" s="242"/>
      <c r="E27" s="453">
        <v>27870680</v>
      </c>
      <c r="F27" s="451">
        <v>27863052.609999999</v>
      </c>
      <c r="G27" s="459">
        <f t="shared" si="0"/>
        <v>99.972632924636201</v>
      </c>
    </row>
    <row r="28" spans="1:7">
      <c r="A28" s="241" t="s">
        <v>1190</v>
      </c>
      <c r="B28" s="242" t="s">
        <v>2089</v>
      </c>
      <c r="C28" s="242" t="s">
        <v>133</v>
      </c>
      <c r="D28" s="242"/>
      <c r="E28" s="453">
        <v>27870680</v>
      </c>
      <c r="F28" s="451">
        <v>27863052.609999999</v>
      </c>
      <c r="G28" s="459">
        <f t="shared" si="0"/>
        <v>99.972632924636201</v>
      </c>
    </row>
    <row r="29" spans="1:7">
      <c r="A29" s="241" t="s">
        <v>140</v>
      </c>
      <c r="B29" s="242" t="s">
        <v>2089</v>
      </c>
      <c r="C29" s="242" t="s">
        <v>133</v>
      </c>
      <c r="D29" s="242" t="s">
        <v>1142</v>
      </c>
      <c r="E29" s="453">
        <v>27870680</v>
      </c>
      <c r="F29" s="451">
        <v>27863052.609999999</v>
      </c>
      <c r="G29" s="459">
        <f t="shared" si="0"/>
        <v>99.972632924636201</v>
      </c>
    </row>
    <row r="30" spans="1:7">
      <c r="A30" s="241" t="s">
        <v>153</v>
      </c>
      <c r="B30" s="242" t="s">
        <v>2089</v>
      </c>
      <c r="C30" s="242" t="s">
        <v>133</v>
      </c>
      <c r="D30" s="242" t="s">
        <v>395</v>
      </c>
      <c r="E30" s="453">
        <v>27870680</v>
      </c>
      <c r="F30" s="451">
        <v>27863052.609999999</v>
      </c>
      <c r="G30" s="459">
        <f t="shared" si="0"/>
        <v>99.972632924636201</v>
      </c>
    </row>
    <row r="31" spans="1:7" ht="89.25">
      <c r="A31" s="241" t="s">
        <v>2090</v>
      </c>
      <c r="B31" s="242" t="s">
        <v>2091</v>
      </c>
      <c r="C31" s="242"/>
      <c r="D31" s="242"/>
      <c r="E31" s="453">
        <v>10871899</v>
      </c>
      <c r="F31" s="451">
        <v>10730120.210000001</v>
      </c>
      <c r="G31" s="459">
        <f t="shared" si="0"/>
        <v>98.695915129454391</v>
      </c>
    </row>
    <row r="32" spans="1:7" ht="63.75">
      <c r="A32" s="241" t="s">
        <v>1318</v>
      </c>
      <c r="B32" s="242" t="s">
        <v>2091</v>
      </c>
      <c r="C32" s="242" t="s">
        <v>273</v>
      </c>
      <c r="D32" s="242"/>
      <c r="E32" s="453">
        <v>7967899</v>
      </c>
      <c r="F32" s="451">
        <v>7826120.21</v>
      </c>
      <c r="G32" s="459">
        <f t="shared" si="0"/>
        <v>98.220625161036807</v>
      </c>
    </row>
    <row r="33" spans="1:7">
      <c r="A33" s="241" t="s">
        <v>1190</v>
      </c>
      <c r="B33" s="242" t="s">
        <v>2091</v>
      </c>
      <c r="C33" s="242" t="s">
        <v>133</v>
      </c>
      <c r="D33" s="242"/>
      <c r="E33" s="453">
        <v>7967899</v>
      </c>
      <c r="F33" s="451">
        <v>7826120.21</v>
      </c>
      <c r="G33" s="459">
        <f t="shared" si="0"/>
        <v>98.220625161036807</v>
      </c>
    </row>
    <row r="34" spans="1:7">
      <c r="A34" s="241" t="s">
        <v>140</v>
      </c>
      <c r="B34" s="242" t="s">
        <v>2091</v>
      </c>
      <c r="C34" s="242" t="s">
        <v>133</v>
      </c>
      <c r="D34" s="242" t="s">
        <v>1142</v>
      </c>
      <c r="E34" s="453">
        <v>7967899</v>
      </c>
      <c r="F34" s="451">
        <v>7826120.21</v>
      </c>
      <c r="G34" s="459">
        <f t="shared" si="0"/>
        <v>98.220625161036807</v>
      </c>
    </row>
    <row r="35" spans="1:7">
      <c r="A35" s="241" t="s">
        <v>152</v>
      </c>
      <c r="B35" s="242" t="s">
        <v>2091</v>
      </c>
      <c r="C35" s="242" t="s">
        <v>133</v>
      </c>
      <c r="D35" s="242" t="s">
        <v>408</v>
      </c>
      <c r="E35" s="453">
        <v>1402992.5</v>
      </c>
      <c r="F35" s="451">
        <v>1391271.65</v>
      </c>
      <c r="G35" s="459">
        <f t="shared" si="0"/>
        <v>99.164582134259433</v>
      </c>
    </row>
    <row r="36" spans="1:7">
      <c r="A36" s="241" t="s">
        <v>153</v>
      </c>
      <c r="B36" s="242" t="s">
        <v>2091</v>
      </c>
      <c r="C36" s="242" t="s">
        <v>133</v>
      </c>
      <c r="D36" s="242" t="s">
        <v>395</v>
      </c>
      <c r="E36" s="453">
        <v>6564906.5</v>
      </c>
      <c r="F36" s="451">
        <v>6434848.5600000005</v>
      </c>
      <c r="G36" s="459">
        <f t="shared" si="0"/>
        <v>98.018891205838202</v>
      </c>
    </row>
    <row r="37" spans="1:7" ht="25.5">
      <c r="A37" s="241" t="s">
        <v>1327</v>
      </c>
      <c r="B37" s="242" t="s">
        <v>2091</v>
      </c>
      <c r="C37" s="242" t="s">
        <v>1328</v>
      </c>
      <c r="D37" s="242"/>
      <c r="E37" s="453">
        <v>2904000</v>
      </c>
      <c r="F37" s="451">
        <v>2904000</v>
      </c>
      <c r="G37" s="459">
        <f t="shared" si="0"/>
        <v>100</v>
      </c>
    </row>
    <row r="38" spans="1:7">
      <c r="A38" s="241" t="s">
        <v>1198</v>
      </c>
      <c r="B38" s="242" t="s">
        <v>2091</v>
      </c>
      <c r="C38" s="242" t="s">
        <v>1199</v>
      </c>
      <c r="D38" s="242"/>
      <c r="E38" s="453">
        <v>2904000</v>
      </c>
      <c r="F38" s="451">
        <v>2904000</v>
      </c>
      <c r="G38" s="459">
        <f t="shared" si="0"/>
        <v>100</v>
      </c>
    </row>
    <row r="39" spans="1:7">
      <c r="A39" s="241" t="s">
        <v>140</v>
      </c>
      <c r="B39" s="242" t="s">
        <v>2091</v>
      </c>
      <c r="C39" s="242" t="s">
        <v>1199</v>
      </c>
      <c r="D39" s="242" t="s">
        <v>1142</v>
      </c>
      <c r="E39" s="453">
        <v>2904000</v>
      </c>
      <c r="F39" s="451">
        <v>2904000</v>
      </c>
      <c r="G39" s="459">
        <f t="shared" si="0"/>
        <v>100</v>
      </c>
    </row>
    <row r="40" spans="1:7">
      <c r="A40" s="241" t="s">
        <v>1077</v>
      </c>
      <c r="B40" s="242" t="s">
        <v>2091</v>
      </c>
      <c r="C40" s="242" t="s">
        <v>1199</v>
      </c>
      <c r="D40" s="242" t="s">
        <v>1078</v>
      </c>
      <c r="E40" s="453">
        <v>2840000</v>
      </c>
      <c r="F40" s="451">
        <v>2840000</v>
      </c>
      <c r="G40" s="459">
        <f t="shared" si="0"/>
        <v>100</v>
      </c>
    </row>
    <row r="41" spans="1:7">
      <c r="A41" s="241" t="s">
        <v>1075</v>
      </c>
      <c r="B41" s="242" t="s">
        <v>2091</v>
      </c>
      <c r="C41" s="242" t="s">
        <v>1199</v>
      </c>
      <c r="D41" s="242" t="s">
        <v>365</v>
      </c>
      <c r="E41" s="453">
        <v>64000</v>
      </c>
      <c r="F41" s="451">
        <v>64000</v>
      </c>
      <c r="G41" s="459">
        <f t="shared" si="0"/>
        <v>100</v>
      </c>
    </row>
    <row r="42" spans="1:7" ht="102">
      <c r="A42" s="241" t="s">
        <v>410</v>
      </c>
      <c r="B42" s="242" t="s">
        <v>742</v>
      </c>
      <c r="C42" s="242"/>
      <c r="D42" s="242"/>
      <c r="E42" s="453">
        <v>54286451.520000003</v>
      </c>
      <c r="F42" s="451">
        <v>53017155.219999999</v>
      </c>
      <c r="G42" s="459">
        <f t="shared" si="0"/>
        <v>97.66185435875768</v>
      </c>
    </row>
    <row r="43" spans="1:7" ht="63.75">
      <c r="A43" s="241" t="s">
        <v>1318</v>
      </c>
      <c r="B43" s="242" t="s">
        <v>742</v>
      </c>
      <c r="C43" s="242" t="s">
        <v>273</v>
      </c>
      <c r="D43" s="242"/>
      <c r="E43" s="453">
        <v>30968098.789999999</v>
      </c>
      <c r="F43" s="451">
        <v>30728646.899999999</v>
      </c>
      <c r="G43" s="459">
        <f t="shared" si="0"/>
        <v>99.226778848699226</v>
      </c>
    </row>
    <row r="44" spans="1:7">
      <c r="A44" s="241" t="s">
        <v>1190</v>
      </c>
      <c r="B44" s="242" t="s">
        <v>742</v>
      </c>
      <c r="C44" s="242" t="s">
        <v>133</v>
      </c>
      <c r="D44" s="242"/>
      <c r="E44" s="453">
        <v>30968098.789999999</v>
      </c>
      <c r="F44" s="451">
        <v>30728646.899999999</v>
      </c>
      <c r="G44" s="459">
        <f t="shared" si="0"/>
        <v>99.226778848699226</v>
      </c>
    </row>
    <row r="45" spans="1:7">
      <c r="A45" s="241" t="s">
        <v>140</v>
      </c>
      <c r="B45" s="242" t="s">
        <v>742</v>
      </c>
      <c r="C45" s="242" t="s">
        <v>133</v>
      </c>
      <c r="D45" s="242" t="s">
        <v>1142</v>
      </c>
      <c r="E45" s="453">
        <v>30968098.789999999</v>
      </c>
      <c r="F45" s="451">
        <v>30728646.899999999</v>
      </c>
      <c r="G45" s="459">
        <f t="shared" si="0"/>
        <v>99.226778848699226</v>
      </c>
    </row>
    <row r="46" spans="1:7">
      <c r="A46" s="241" t="s">
        <v>152</v>
      </c>
      <c r="B46" s="242" t="s">
        <v>742</v>
      </c>
      <c r="C46" s="242" t="s">
        <v>133</v>
      </c>
      <c r="D46" s="242" t="s">
        <v>408</v>
      </c>
      <c r="E46" s="453">
        <v>30968098.789999999</v>
      </c>
      <c r="F46" s="451">
        <v>30728646.899999999</v>
      </c>
      <c r="G46" s="459">
        <f t="shared" si="0"/>
        <v>99.226778848699226</v>
      </c>
    </row>
    <row r="47" spans="1:7" ht="25.5">
      <c r="A47" s="241" t="s">
        <v>1319</v>
      </c>
      <c r="B47" s="242" t="s">
        <v>742</v>
      </c>
      <c r="C47" s="242" t="s">
        <v>1320</v>
      </c>
      <c r="D47" s="242"/>
      <c r="E47" s="453">
        <v>22539523.640000001</v>
      </c>
      <c r="F47" s="451">
        <v>21524985.079999998</v>
      </c>
      <c r="G47" s="459">
        <f t="shared" si="0"/>
        <v>95.498846487600389</v>
      </c>
    </row>
    <row r="48" spans="1:7" ht="25.5">
      <c r="A48" s="241" t="s">
        <v>1196</v>
      </c>
      <c r="B48" s="242" t="s">
        <v>742</v>
      </c>
      <c r="C48" s="242" t="s">
        <v>1197</v>
      </c>
      <c r="D48" s="242"/>
      <c r="E48" s="453">
        <v>22539523.640000001</v>
      </c>
      <c r="F48" s="451">
        <v>21524985.079999998</v>
      </c>
      <c r="G48" s="459">
        <f t="shared" si="0"/>
        <v>95.498846487600389</v>
      </c>
    </row>
    <row r="49" spans="1:7">
      <c r="A49" s="241" t="s">
        <v>140</v>
      </c>
      <c r="B49" s="242" t="s">
        <v>742</v>
      </c>
      <c r="C49" s="242" t="s">
        <v>1197</v>
      </c>
      <c r="D49" s="242" t="s">
        <v>1142</v>
      </c>
      <c r="E49" s="453">
        <v>22539523.640000001</v>
      </c>
      <c r="F49" s="451">
        <v>21524985.079999998</v>
      </c>
      <c r="G49" s="459">
        <f t="shared" si="0"/>
        <v>95.498846487600389</v>
      </c>
    </row>
    <row r="50" spans="1:7">
      <c r="A50" s="241" t="s">
        <v>152</v>
      </c>
      <c r="B50" s="242" t="s">
        <v>742</v>
      </c>
      <c r="C50" s="242" t="s">
        <v>1197</v>
      </c>
      <c r="D50" s="242" t="s">
        <v>408</v>
      </c>
      <c r="E50" s="453">
        <v>22539523.640000001</v>
      </c>
      <c r="F50" s="451">
        <v>21524985.079999998</v>
      </c>
      <c r="G50" s="459">
        <f t="shared" si="0"/>
        <v>95.498846487600389</v>
      </c>
    </row>
    <row r="51" spans="1:7">
      <c r="A51" s="241" t="s">
        <v>1321</v>
      </c>
      <c r="B51" s="242" t="s">
        <v>742</v>
      </c>
      <c r="C51" s="242" t="s">
        <v>1322</v>
      </c>
      <c r="D51" s="242"/>
      <c r="E51" s="453">
        <v>778829.09</v>
      </c>
      <c r="F51" s="451">
        <v>763523.24</v>
      </c>
      <c r="G51" s="459">
        <f t="shared" si="0"/>
        <v>98.034761387764817</v>
      </c>
    </row>
    <row r="52" spans="1:7">
      <c r="A52" s="241" t="s">
        <v>1210</v>
      </c>
      <c r="B52" s="242" t="s">
        <v>742</v>
      </c>
      <c r="C52" s="242" t="s">
        <v>201</v>
      </c>
      <c r="D52" s="242"/>
      <c r="E52" s="453">
        <v>34213.910000000003</v>
      </c>
      <c r="F52" s="451">
        <v>31921</v>
      </c>
      <c r="G52" s="459">
        <f t="shared" si="0"/>
        <v>93.298310540946645</v>
      </c>
    </row>
    <row r="53" spans="1:7">
      <c r="A53" s="241" t="s">
        <v>140</v>
      </c>
      <c r="B53" s="242" t="s">
        <v>742</v>
      </c>
      <c r="C53" s="242" t="s">
        <v>201</v>
      </c>
      <c r="D53" s="242" t="s">
        <v>1142</v>
      </c>
      <c r="E53" s="453">
        <v>34213.910000000003</v>
      </c>
      <c r="F53" s="451">
        <v>31921</v>
      </c>
      <c r="G53" s="459">
        <f t="shared" si="0"/>
        <v>93.298310540946645</v>
      </c>
    </row>
    <row r="54" spans="1:7">
      <c r="A54" s="241" t="s">
        <v>152</v>
      </c>
      <c r="B54" s="242" t="s">
        <v>742</v>
      </c>
      <c r="C54" s="242" t="s">
        <v>201</v>
      </c>
      <c r="D54" s="242" t="s">
        <v>408</v>
      </c>
      <c r="E54" s="453">
        <v>34213.910000000003</v>
      </c>
      <c r="F54" s="451">
        <v>31921</v>
      </c>
      <c r="G54" s="459">
        <f t="shared" si="0"/>
        <v>93.298310540946645</v>
      </c>
    </row>
    <row r="55" spans="1:7">
      <c r="A55" s="241" t="s">
        <v>1201</v>
      </c>
      <c r="B55" s="242" t="s">
        <v>742</v>
      </c>
      <c r="C55" s="242" t="s">
        <v>1202</v>
      </c>
      <c r="D55" s="242"/>
      <c r="E55" s="453">
        <v>744615.18</v>
      </c>
      <c r="F55" s="451">
        <v>731602.24</v>
      </c>
      <c r="G55" s="459">
        <f t="shared" si="0"/>
        <v>98.252393941257012</v>
      </c>
    </row>
    <row r="56" spans="1:7">
      <c r="A56" s="241" t="s">
        <v>140</v>
      </c>
      <c r="B56" s="242" t="s">
        <v>742</v>
      </c>
      <c r="C56" s="242" t="s">
        <v>1202</v>
      </c>
      <c r="D56" s="242" t="s">
        <v>1142</v>
      </c>
      <c r="E56" s="453">
        <v>744615.18</v>
      </c>
      <c r="F56" s="451">
        <v>731602.24</v>
      </c>
      <c r="G56" s="459">
        <f t="shared" si="0"/>
        <v>98.252393941257012</v>
      </c>
    </row>
    <row r="57" spans="1:7">
      <c r="A57" s="241" t="s">
        <v>152</v>
      </c>
      <c r="B57" s="242" t="s">
        <v>742</v>
      </c>
      <c r="C57" s="242" t="s">
        <v>1202</v>
      </c>
      <c r="D57" s="242" t="s">
        <v>408</v>
      </c>
      <c r="E57" s="453">
        <v>744615.18</v>
      </c>
      <c r="F57" s="451">
        <v>731602.24</v>
      </c>
      <c r="G57" s="459">
        <f t="shared" si="0"/>
        <v>98.252393941257012</v>
      </c>
    </row>
    <row r="58" spans="1:7" ht="102">
      <c r="A58" s="241" t="s">
        <v>413</v>
      </c>
      <c r="B58" s="242" t="s">
        <v>750</v>
      </c>
      <c r="C58" s="242"/>
      <c r="D58" s="242"/>
      <c r="E58" s="453">
        <v>81708874.109999999</v>
      </c>
      <c r="F58" s="451">
        <v>80553130.950000003</v>
      </c>
      <c r="G58" s="459">
        <f t="shared" si="0"/>
        <v>98.585535325766344</v>
      </c>
    </row>
    <row r="59" spans="1:7" ht="63.75">
      <c r="A59" s="241" t="s">
        <v>1318</v>
      </c>
      <c r="B59" s="242" t="s">
        <v>750</v>
      </c>
      <c r="C59" s="242" t="s">
        <v>273</v>
      </c>
      <c r="D59" s="242"/>
      <c r="E59" s="453">
        <v>40674152.579999998</v>
      </c>
      <c r="F59" s="451">
        <v>40382065.210000001</v>
      </c>
      <c r="G59" s="459">
        <f t="shared" si="0"/>
        <v>99.281884559425038</v>
      </c>
    </row>
    <row r="60" spans="1:7">
      <c r="A60" s="241" t="s">
        <v>1190</v>
      </c>
      <c r="B60" s="242" t="s">
        <v>750</v>
      </c>
      <c r="C60" s="242" t="s">
        <v>133</v>
      </c>
      <c r="D60" s="242"/>
      <c r="E60" s="453">
        <v>40674152.579999998</v>
      </c>
      <c r="F60" s="451">
        <v>40382065.210000001</v>
      </c>
      <c r="G60" s="459">
        <f t="shared" si="0"/>
        <v>99.281884559425038</v>
      </c>
    </row>
    <row r="61" spans="1:7">
      <c r="A61" s="241" t="s">
        <v>140</v>
      </c>
      <c r="B61" s="242" t="s">
        <v>750</v>
      </c>
      <c r="C61" s="242" t="s">
        <v>133</v>
      </c>
      <c r="D61" s="242" t="s">
        <v>1142</v>
      </c>
      <c r="E61" s="453">
        <v>40674152.579999998</v>
      </c>
      <c r="F61" s="451">
        <v>40382065.210000001</v>
      </c>
      <c r="G61" s="459">
        <f t="shared" si="0"/>
        <v>99.281884559425038</v>
      </c>
    </row>
    <row r="62" spans="1:7">
      <c r="A62" s="241" t="s">
        <v>153</v>
      </c>
      <c r="B62" s="242" t="s">
        <v>750</v>
      </c>
      <c r="C62" s="242" t="s">
        <v>133</v>
      </c>
      <c r="D62" s="242" t="s">
        <v>395</v>
      </c>
      <c r="E62" s="453">
        <v>40674152.579999998</v>
      </c>
      <c r="F62" s="451">
        <v>40382065.210000001</v>
      </c>
      <c r="G62" s="459">
        <f t="shared" si="0"/>
        <v>99.281884559425038</v>
      </c>
    </row>
    <row r="63" spans="1:7" ht="25.5">
      <c r="A63" s="241" t="s">
        <v>1319</v>
      </c>
      <c r="B63" s="242" t="s">
        <v>750</v>
      </c>
      <c r="C63" s="242" t="s">
        <v>1320</v>
      </c>
      <c r="D63" s="242"/>
      <c r="E63" s="453">
        <v>40573722.780000001</v>
      </c>
      <c r="F63" s="451">
        <v>39715270.670000002</v>
      </c>
      <c r="G63" s="459">
        <f t="shared" si="0"/>
        <v>97.884216554012752</v>
      </c>
    </row>
    <row r="64" spans="1:7" ht="25.5">
      <c r="A64" s="241" t="s">
        <v>1196</v>
      </c>
      <c r="B64" s="242" t="s">
        <v>750</v>
      </c>
      <c r="C64" s="242" t="s">
        <v>1197</v>
      </c>
      <c r="D64" s="242"/>
      <c r="E64" s="453">
        <v>40573722.780000001</v>
      </c>
      <c r="F64" s="451">
        <v>39715270.670000002</v>
      </c>
      <c r="G64" s="459">
        <f t="shared" si="0"/>
        <v>97.884216554012752</v>
      </c>
    </row>
    <row r="65" spans="1:7">
      <c r="A65" s="241" t="s">
        <v>140</v>
      </c>
      <c r="B65" s="242" t="s">
        <v>750</v>
      </c>
      <c r="C65" s="242" t="s">
        <v>1197</v>
      </c>
      <c r="D65" s="242" t="s">
        <v>1142</v>
      </c>
      <c r="E65" s="453">
        <v>40573722.780000001</v>
      </c>
      <c r="F65" s="451">
        <v>39715270.670000002</v>
      </c>
      <c r="G65" s="459">
        <f t="shared" si="0"/>
        <v>97.884216554012752</v>
      </c>
    </row>
    <row r="66" spans="1:7">
      <c r="A66" s="241" t="s">
        <v>153</v>
      </c>
      <c r="B66" s="242" t="s">
        <v>750</v>
      </c>
      <c r="C66" s="242" t="s">
        <v>1197</v>
      </c>
      <c r="D66" s="242" t="s">
        <v>395</v>
      </c>
      <c r="E66" s="453">
        <v>40573722.780000001</v>
      </c>
      <c r="F66" s="451">
        <v>39715270.670000002</v>
      </c>
      <c r="G66" s="459">
        <f t="shared" si="0"/>
        <v>97.884216554012752</v>
      </c>
    </row>
    <row r="67" spans="1:7">
      <c r="A67" s="241" t="s">
        <v>1321</v>
      </c>
      <c r="B67" s="242" t="s">
        <v>750</v>
      </c>
      <c r="C67" s="242" t="s">
        <v>1322</v>
      </c>
      <c r="D67" s="242"/>
      <c r="E67" s="453">
        <v>460998.75</v>
      </c>
      <c r="F67" s="451">
        <v>455795.07</v>
      </c>
      <c r="G67" s="459">
        <f t="shared" si="0"/>
        <v>98.871216028243026</v>
      </c>
    </row>
    <row r="68" spans="1:7">
      <c r="A68" s="241" t="s">
        <v>1210</v>
      </c>
      <c r="B68" s="242" t="s">
        <v>750</v>
      </c>
      <c r="C68" s="242" t="s">
        <v>201</v>
      </c>
      <c r="D68" s="242"/>
      <c r="E68" s="453">
        <v>18275.240000000002</v>
      </c>
      <c r="F68" s="451">
        <v>18275.240000000002</v>
      </c>
      <c r="G68" s="459">
        <f t="shared" si="0"/>
        <v>100</v>
      </c>
    </row>
    <row r="69" spans="1:7">
      <c r="A69" s="241" t="s">
        <v>140</v>
      </c>
      <c r="B69" s="242" t="s">
        <v>750</v>
      </c>
      <c r="C69" s="242" t="s">
        <v>201</v>
      </c>
      <c r="D69" s="242" t="s">
        <v>1142</v>
      </c>
      <c r="E69" s="453">
        <v>18275.240000000002</v>
      </c>
      <c r="F69" s="451">
        <v>18275.240000000002</v>
      </c>
      <c r="G69" s="459">
        <f t="shared" si="0"/>
        <v>100</v>
      </c>
    </row>
    <row r="70" spans="1:7">
      <c r="A70" s="241" t="s">
        <v>153</v>
      </c>
      <c r="B70" s="242" t="s">
        <v>750</v>
      </c>
      <c r="C70" s="242" t="s">
        <v>201</v>
      </c>
      <c r="D70" s="242" t="s">
        <v>395</v>
      </c>
      <c r="E70" s="453">
        <v>18275.240000000002</v>
      </c>
      <c r="F70" s="451">
        <v>18275.240000000002</v>
      </c>
      <c r="G70" s="459">
        <f t="shared" si="0"/>
        <v>100</v>
      </c>
    </row>
    <row r="71" spans="1:7">
      <c r="A71" s="241" t="s">
        <v>1201</v>
      </c>
      <c r="B71" s="242" t="s">
        <v>750</v>
      </c>
      <c r="C71" s="242" t="s">
        <v>1202</v>
      </c>
      <c r="D71" s="242"/>
      <c r="E71" s="453">
        <v>442723.51</v>
      </c>
      <c r="F71" s="451">
        <v>437519.83</v>
      </c>
      <c r="G71" s="459">
        <f t="shared" ref="G71:G134" si="1">F71/E71*100</f>
        <v>98.82462081130501</v>
      </c>
    </row>
    <row r="72" spans="1:7">
      <c r="A72" s="241" t="s">
        <v>140</v>
      </c>
      <c r="B72" s="242" t="s">
        <v>750</v>
      </c>
      <c r="C72" s="242" t="s">
        <v>1202</v>
      </c>
      <c r="D72" s="242" t="s">
        <v>1142</v>
      </c>
      <c r="E72" s="453">
        <v>442723.51</v>
      </c>
      <c r="F72" s="451">
        <v>437519.83</v>
      </c>
      <c r="G72" s="459">
        <f t="shared" si="1"/>
        <v>98.82462081130501</v>
      </c>
    </row>
    <row r="73" spans="1:7">
      <c r="A73" s="241" t="s">
        <v>153</v>
      </c>
      <c r="B73" s="242" t="s">
        <v>750</v>
      </c>
      <c r="C73" s="242" t="s">
        <v>1202</v>
      </c>
      <c r="D73" s="242" t="s">
        <v>395</v>
      </c>
      <c r="E73" s="453">
        <v>442723.51</v>
      </c>
      <c r="F73" s="451">
        <v>437519.83</v>
      </c>
      <c r="G73" s="459">
        <f t="shared" si="1"/>
        <v>98.82462081130501</v>
      </c>
    </row>
    <row r="74" spans="1:7" ht="102">
      <c r="A74" s="241" t="s">
        <v>414</v>
      </c>
      <c r="B74" s="242" t="s">
        <v>754</v>
      </c>
      <c r="C74" s="242"/>
      <c r="D74" s="242"/>
      <c r="E74" s="453">
        <v>3721400</v>
      </c>
      <c r="F74" s="451">
        <v>3721400</v>
      </c>
      <c r="G74" s="459">
        <f t="shared" si="1"/>
        <v>100</v>
      </c>
    </row>
    <row r="75" spans="1:7" ht="25.5">
      <c r="A75" s="241" t="s">
        <v>1327</v>
      </c>
      <c r="B75" s="242" t="s">
        <v>754</v>
      </c>
      <c r="C75" s="242" t="s">
        <v>1328</v>
      </c>
      <c r="D75" s="242"/>
      <c r="E75" s="453">
        <v>3721400</v>
      </c>
      <c r="F75" s="451">
        <v>3721400</v>
      </c>
      <c r="G75" s="459">
        <f t="shared" si="1"/>
        <v>100</v>
      </c>
    </row>
    <row r="76" spans="1:7">
      <c r="A76" s="241" t="s">
        <v>1198</v>
      </c>
      <c r="B76" s="242" t="s">
        <v>754</v>
      </c>
      <c r="C76" s="242" t="s">
        <v>1199</v>
      </c>
      <c r="D76" s="242"/>
      <c r="E76" s="453">
        <v>3721400</v>
      </c>
      <c r="F76" s="451">
        <v>3721400</v>
      </c>
      <c r="G76" s="459">
        <f t="shared" si="1"/>
        <v>100</v>
      </c>
    </row>
    <row r="77" spans="1:7">
      <c r="A77" s="241" t="s">
        <v>140</v>
      </c>
      <c r="B77" s="242" t="s">
        <v>754</v>
      </c>
      <c r="C77" s="242" t="s">
        <v>1199</v>
      </c>
      <c r="D77" s="242" t="s">
        <v>1142</v>
      </c>
      <c r="E77" s="453">
        <v>3721400</v>
      </c>
      <c r="F77" s="451">
        <v>3721400</v>
      </c>
      <c r="G77" s="459">
        <f t="shared" si="1"/>
        <v>100</v>
      </c>
    </row>
    <row r="78" spans="1:7">
      <c r="A78" s="241" t="s">
        <v>1077</v>
      </c>
      <c r="B78" s="242" t="s">
        <v>754</v>
      </c>
      <c r="C78" s="242" t="s">
        <v>1199</v>
      </c>
      <c r="D78" s="242" t="s">
        <v>1078</v>
      </c>
      <c r="E78" s="453">
        <v>3721400</v>
      </c>
      <c r="F78" s="451">
        <v>3721400</v>
      </c>
      <c r="G78" s="459">
        <f t="shared" si="1"/>
        <v>100</v>
      </c>
    </row>
    <row r="79" spans="1:7" ht="102">
      <c r="A79" s="241" t="s">
        <v>1786</v>
      </c>
      <c r="B79" s="242" t="s">
        <v>1787</v>
      </c>
      <c r="C79" s="242"/>
      <c r="D79" s="242"/>
      <c r="E79" s="453">
        <v>18303586</v>
      </c>
      <c r="F79" s="451">
        <v>18303586</v>
      </c>
      <c r="G79" s="459">
        <f t="shared" si="1"/>
        <v>100</v>
      </c>
    </row>
    <row r="80" spans="1:7" ht="25.5">
      <c r="A80" s="241" t="s">
        <v>1327</v>
      </c>
      <c r="B80" s="242" t="s">
        <v>1787</v>
      </c>
      <c r="C80" s="242" t="s">
        <v>1328</v>
      </c>
      <c r="D80" s="242"/>
      <c r="E80" s="453">
        <v>18303586</v>
      </c>
      <c r="F80" s="451">
        <v>18303586</v>
      </c>
      <c r="G80" s="459">
        <f t="shared" si="1"/>
        <v>100</v>
      </c>
    </row>
    <row r="81" spans="1:7">
      <c r="A81" s="241" t="s">
        <v>1198</v>
      </c>
      <c r="B81" s="242" t="s">
        <v>1787</v>
      </c>
      <c r="C81" s="242" t="s">
        <v>1199</v>
      </c>
      <c r="D81" s="242"/>
      <c r="E81" s="453">
        <v>18303586</v>
      </c>
      <c r="F81" s="451">
        <v>18303586</v>
      </c>
      <c r="G81" s="459">
        <f t="shared" si="1"/>
        <v>100</v>
      </c>
    </row>
    <row r="82" spans="1:7">
      <c r="A82" s="241" t="s">
        <v>140</v>
      </c>
      <c r="B82" s="242" t="s">
        <v>1787</v>
      </c>
      <c r="C82" s="242" t="s">
        <v>1199</v>
      </c>
      <c r="D82" s="242" t="s">
        <v>1142</v>
      </c>
      <c r="E82" s="453">
        <v>16935486</v>
      </c>
      <c r="F82" s="451">
        <v>16935486</v>
      </c>
      <c r="G82" s="459">
        <f t="shared" si="1"/>
        <v>100</v>
      </c>
    </row>
    <row r="83" spans="1:7">
      <c r="A83" s="241" t="s">
        <v>1077</v>
      </c>
      <c r="B83" s="242" t="s">
        <v>1787</v>
      </c>
      <c r="C83" s="242" t="s">
        <v>1199</v>
      </c>
      <c r="D83" s="242" t="s">
        <v>1078</v>
      </c>
      <c r="E83" s="453">
        <v>16935486</v>
      </c>
      <c r="F83" s="451">
        <v>16935486</v>
      </c>
      <c r="G83" s="459">
        <f t="shared" si="1"/>
        <v>100</v>
      </c>
    </row>
    <row r="84" spans="1:7">
      <c r="A84" s="241" t="s">
        <v>248</v>
      </c>
      <c r="B84" s="242" t="s">
        <v>1787</v>
      </c>
      <c r="C84" s="242" t="s">
        <v>1199</v>
      </c>
      <c r="D84" s="242" t="s">
        <v>1144</v>
      </c>
      <c r="E84" s="453">
        <v>1368100</v>
      </c>
      <c r="F84" s="451">
        <v>1368100</v>
      </c>
      <c r="G84" s="459">
        <f t="shared" si="1"/>
        <v>100</v>
      </c>
    </row>
    <row r="85" spans="1:7">
      <c r="A85" s="241" t="s">
        <v>1228</v>
      </c>
      <c r="B85" s="242" t="s">
        <v>1787</v>
      </c>
      <c r="C85" s="242" t="s">
        <v>1199</v>
      </c>
      <c r="D85" s="242" t="s">
        <v>1229</v>
      </c>
      <c r="E85" s="453">
        <v>1368100</v>
      </c>
      <c r="F85" s="451">
        <v>1368100</v>
      </c>
      <c r="G85" s="459">
        <f t="shared" si="1"/>
        <v>100</v>
      </c>
    </row>
    <row r="86" spans="1:7" ht="140.25">
      <c r="A86" s="241" t="s">
        <v>1474</v>
      </c>
      <c r="B86" s="242" t="s">
        <v>1475</v>
      </c>
      <c r="C86" s="242"/>
      <c r="D86" s="242"/>
      <c r="E86" s="453">
        <v>651000</v>
      </c>
      <c r="F86" s="451">
        <v>651000</v>
      </c>
      <c r="G86" s="459">
        <f t="shared" si="1"/>
        <v>100</v>
      </c>
    </row>
    <row r="87" spans="1:7" ht="25.5">
      <c r="A87" s="241" t="s">
        <v>1327</v>
      </c>
      <c r="B87" s="242" t="s">
        <v>1475</v>
      </c>
      <c r="C87" s="242" t="s">
        <v>1328</v>
      </c>
      <c r="D87" s="242"/>
      <c r="E87" s="453">
        <v>651000</v>
      </c>
      <c r="F87" s="451">
        <v>651000</v>
      </c>
      <c r="G87" s="459">
        <f t="shared" si="1"/>
        <v>100</v>
      </c>
    </row>
    <row r="88" spans="1:7">
      <c r="A88" s="241" t="s">
        <v>1198</v>
      </c>
      <c r="B88" s="242" t="s">
        <v>1475</v>
      </c>
      <c r="C88" s="242" t="s">
        <v>1199</v>
      </c>
      <c r="D88" s="242"/>
      <c r="E88" s="453">
        <v>651000</v>
      </c>
      <c r="F88" s="451">
        <v>651000</v>
      </c>
      <c r="G88" s="459">
        <f t="shared" si="1"/>
        <v>100</v>
      </c>
    </row>
    <row r="89" spans="1:7">
      <c r="A89" s="241" t="s">
        <v>140</v>
      </c>
      <c r="B89" s="242" t="s">
        <v>1475</v>
      </c>
      <c r="C89" s="242" t="s">
        <v>1199</v>
      </c>
      <c r="D89" s="242" t="s">
        <v>1142</v>
      </c>
      <c r="E89" s="453">
        <v>651000</v>
      </c>
      <c r="F89" s="451">
        <v>651000</v>
      </c>
      <c r="G89" s="459">
        <f t="shared" si="1"/>
        <v>100</v>
      </c>
    </row>
    <row r="90" spans="1:7">
      <c r="A90" s="241" t="s">
        <v>1077</v>
      </c>
      <c r="B90" s="242" t="s">
        <v>1475</v>
      </c>
      <c r="C90" s="242" t="s">
        <v>1199</v>
      </c>
      <c r="D90" s="242" t="s">
        <v>1078</v>
      </c>
      <c r="E90" s="453">
        <v>651000</v>
      </c>
      <c r="F90" s="451">
        <v>651000</v>
      </c>
      <c r="G90" s="459">
        <f t="shared" si="1"/>
        <v>100</v>
      </c>
    </row>
    <row r="91" spans="1:7" ht="153">
      <c r="A91" s="241" t="s">
        <v>1476</v>
      </c>
      <c r="B91" s="242" t="s">
        <v>1477</v>
      </c>
      <c r="C91" s="242"/>
      <c r="D91" s="242"/>
      <c r="E91" s="453">
        <v>1411400</v>
      </c>
      <c r="F91" s="451">
        <v>1411400</v>
      </c>
      <c r="G91" s="459">
        <f t="shared" si="1"/>
        <v>100</v>
      </c>
    </row>
    <row r="92" spans="1:7" ht="25.5">
      <c r="A92" s="241" t="s">
        <v>1327</v>
      </c>
      <c r="B92" s="242" t="s">
        <v>1477</v>
      </c>
      <c r="C92" s="242" t="s">
        <v>1328</v>
      </c>
      <c r="D92" s="242"/>
      <c r="E92" s="453">
        <v>1411400</v>
      </c>
      <c r="F92" s="451">
        <v>1411400</v>
      </c>
      <c r="G92" s="459">
        <f t="shared" si="1"/>
        <v>100</v>
      </c>
    </row>
    <row r="93" spans="1:7">
      <c r="A93" s="241" t="s">
        <v>1198</v>
      </c>
      <c r="B93" s="242" t="s">
        <v>1477</v>
      </c>
      <c r="C93" s="242" t="s">
        <v>1199</v>
      </c>
      <c r="D93" s="242"/>
      <c r="E93" s="453">
        <v>1411400</v>
      </c>
      <c r="F93" s="451">
        <v>1411400</v>
      </c>
      <c r="G93" s="459">
        <f t="shared" si="1"/>
        <v>100</v>
      </c>
    </row>
    <row r="94" spans="1:7">
      <c r="A94" s="241" t="s">
        <v>140</v>
      </c>
      <c r="B94" s="242" t="s">
        <v>1477</v>
      </c>
      <c r="C94" s="242" t="s">
        <v>1199</v>
      </c>
      <c r="D94" s="242" t="s">
        <v>1142</v>
      </c>
      <c r="E94" s="453">
        <v>1411400</v>
      </c>
      <c r="F94" s="451">
        <v>1411400</v>
      </c>
      <c r="G94" s="459">
        <f t="shared" si="1"/>
        <v>100</v>
      </c>
    </row>
    <row r="95" spans="1:7">
      <c r="A95" s="241" t="s">
        <v>1077</v>
      </c>
      <c r="B95" s="242" t="s">
        <v>1477</v>
      </c>
      <c r="C95" s="242" t="s">
        <v>1199</v>
      </c>
      <c r="D95" s="242" t="s">
        <v>1078</v>
      </c>
      <c r="E95" s="453">
        <v>1411400</v>
      </c>
      <c r="F95" s="451">
        <v>1411400</v>
      </c>
      <c r="G95" s="459">
        <f t="shared" si="1"/>
        <v>100</v>
      </c>
    </row>
    <row r="96" spans="1:7" ht="102">
      <c r="A96" s="241" t="s">
        <v>417</v>
      </c>
      <c r="B96" s="242" t="s">
        <v>767</v>
      </c>
      <c r="C96" s="242"/>
      <c r="D96" s="242"/>
      <c r="E96" s="453">
        <v>1298000</v>
      </c>
      <c r="F96" s="451">
        <v>1298000</v>
      </c>
      <c r="G96" s="459">
        <f t="shared" si="1"/>
        <v>100</v>
      </c>
    </row>
    <row r="97" spans="1:7" ht="25.5">
      <c r="A97" s="241" t="s">
        <v>1327</v>
      </c>
      <c r="B97" s="242" t="s">
        <v>767</v>
      </c>
      <c r="C97" s="242" t="s">
        <v>1328</v>
      </c>
      <c r="D97" s="242"/>
      <c r="E97" s="453">
        <v>1298000</v>
      </c>
      <c r="F97" s="451">
        <v>1298000</v>
      </c>
      <c r="G97" s="459">
        <f t="shared" si="1"/>
        <v>100</v>
      </c>
    </row>
    <row r="98" spans="1:7">
      <c r="A98" s="241" t="s">
        <v>1198</v>
      </c>
      <c r="B98" s="242" t="s">
        <v>767</v>
      </c>
      <c r="C98" s="242" t="s">
        <v>1199</v>
      </c>
      <c r="D98" s="242"/>
      <c r="E98" s="453">
        <v>1298000</v>
      </c>
      <c r="F98" s="451">
        <v>1298000</v>
      </c>
      <c r="G98" s="459">
        <f t="shared" si="1"/>
        <v>100</v>
      </c>
    </row>
    <row r="99" spans="1:7">
      <c r="A99" s="241" t="s">
        <v>140</v>
      </c>
      <c r="B99" s="242" t="s">
        <v>767</v>
      </c>
      <c r="C99" s="242" t="s">
        <v>1199</v>
      </c>
      <c r="D99" s="242" t="s">
        <v>1142</v>
      </c>
      <c r="E99" s="453">
        <v>1298000</v>
      </c>
      <c r="F99" s="451">
        <v>1298000</v>
      </c>
      <c r="G99" s="459">
        <f t="shared" si="1"/>
        <v>100</v>
      </c>
    </row>
    <row r="100" spans="1:7">
      <c r="A100" s="241" t="s">
        <v>1075</v>
      </c>
      <c r="B100" s="242" t="s">
        <v>767</v>
      </c>
      <c r="C100" s="242" t="s">
        <v>1199</v>
      </c>
      <c r="D100" s="242" t="s">
        <v>365</v>
      </c>
      <c r="E100" s="453">
        <v>1298000</v>
      </c>
      <c r="F100" s="451">
        <v>1298000</v>
      </c>
      <c r="G100" s="459">
        <f t="shared" si="1"/>
        <v>100</v>
      </c>
    </row>
    <row r="101" spans="1:7" ht="140.25">
      <c r="A101" s="241" t="s">
        <v>572</v>
      </c>
      <c r="B101" s="242" t="s">
        <v>743</v>
      </c>
      <c r="C101" s="242"/>
      <c r="D101" s="242"/>
      <c r="E101" s="453">
        <v>77400100.379999995</v>
      </c>
      <c r="F101" s="451">
        <v>77144900.400000006</v>
      </c>
      <c r="G101" s="459">
        <f t="shared" si="1"/>
        <v>99.670284691173435</v>
      </c>
    </row>
    <row r="102" spans="1:7" ht="63.75">
      <c r="A102" s="241" t="s">
        <v>1318</v>
      </c>
      <c r="B102" s="242" t="s">
        <v>743</v>
      </c>
      <c r="C102" s="242" t="s">
        <v>273</v>
      </c>
      <c r="D102" s="242"/>
      <c r="E102" s="453">
        <v>77400100.379999995</v>
      </c>
      <c r="F102" s="451">
        <v>77144900.400000006</v>
      </c>
      <c r="G102" s="459">
        <f t="shared" si="1"/>
        <v>99.670284691173435</v>
      </c>
    </row>
    <row r="103" spans="1:7">
      <c r="A103" s="241" t="s">
        <v>1190</v>
      </c>
      <c r="B103" s="242" t="s">
        <v>743</v>
      </c>
      <c r="C103" s="242" t="s">
        <v>133</v>
      </c>
      <c r="D103" s="242"/>
      <c r="E103" s="453">
        <v>77400100.379999995</v>
      </c>
      <c r="F103" s="451">
        <v>77144900.400000006</v>
      </c>
      <c r="G103" s="459">
        <f t="shared" si="1"/>
        <v>99.670284691173435</v>
      </c>
    </row>
    <row r="104" spans="1:7">
      <c r="A104" s="241" t="s">
        <v>140</v>
      </c>
      <c r="B104" s="242" t="s">
        <v>743</v>
      </c>
      <c r="C104" s="242" t="s">
        <v>133</v>
      </c>
      <c r="D104" s="242" t="s">
        <v>1142</v>
      </c>
      <c r="E104" s="453">
        <v>77400100.379999995</v>
      </c>
      <c r="F104" s="451">
        <v>77144900.400000006</v>
      </c>
      <c r="G104" s="459">
        <f t="shared" si="1"/>
        <v>99.670284691173435</v>
      </c>
    </row>
    <row r="105" spans="1:7">
      <c r="A105" s="241" t="s">
        <v>152</v>
      </c>
      <c r="B105" s="242" t="s">
        <v>743</v>
      </c>
      <c r="C105" s="242" t="s">
        <v>133</v>
      </c>
      <c r="D105" s="242" t="s">
        <v>408</v>
      </c>
      <c r="E105" s="453">
        <v>77400100.379999995</v>
      </c>
      <c r="F105" s="451">
        <v>77144900.400000006</v>
      </c>
      <c r="G105" s="459">
        <f t="shared" si="1"/>
        <v>99.670284691173435</v>
      </c>
    </row>
    <row r="106" spans="1:7" ht="140.25">
      <c r="A106" s="241" t="s">
        <v>415</v>
      </c>
      <c r="B106" s="242" t="s">
        <v>751</v>
      </c>
      <c r="C106" s="242"/>
      <c r="D106" s="242"/>
      <c r="E106" s="453">
        <v>66151200.420000002</v>
      </c>
      <c r="F106" s="451">
        <v>65877782.939999998</v>
      </c>
      <c r="G106" s="459">
        <f t="shared" si="1"/>
        <v>99.586677976719912</v>
      </c>
    </row>
    <row r="107" spans="1:7" ht="63.75">
      <c r="A107" s="241" t="s">
        <v>1318</v>
      </c>
      <c r="B107" s="242" t="s">
        <v>751</v>
      </c>
      <c r="C107" s="242" t="s">
        <v>273</v>
      </c>
      <c r="D107" s="242"/>
      <c r="E107" s="453">
        <v>66151200.420000002</v>
      </c>
      <c r="F107" s="451">
        <v>65877782.939999998</v>
      </c>
      <c r="G107" s="459">
        <f t="shared" si="1"/>
        <v>99.586677976719912</v>
      </c>
    </row>
    <row r="108" spans="1:7">
      <c r="A108" s="241" t="s">
        <v>1190</v>
      </c>
      <c r="B108" s="242" t="s">
        <v>751</v>
      </c>
      <c r="C108" s="242" t="s">
        <v>133</v>
      </c>
      <c r="D108" s="242"/>
      <c r="E108" s="453">
        <v>66151200.420000002</v>
      </c>
      <c r="F108" s="451">
        <v>65877782.939999998</v>
      </c>
      <c r="G108" s="459">
        <f t="shared" si="1"/>
        <v>99.586677976719912</v>
      </c>
    </row>
    <row r="109" spans="1:7">
      <c r="A109" s="241" t="s">
        <v>140</v>
      </c>
      <c r="B109" s="242" t="s">
        <v>751</v>
      </c>
      <c r="C109" s="242" t="s">
        <v>133</v>
      </c>
      <c r="D109" s="242" t="s">
        <v>1142</v>
      </c>
      <c r="E109" s="453">
        <v>66151200.420000002</v>
      </c>
      <c r="F109" s="451">
        <v>65877782.939999998</v>
      </c>
      <c r="G109" s="459">
        <f t="shared" si="1"/>
        <v>99.586677976719912</v>
      </c>
    </row>
    <row r="110" spans="1:7">
      <c r="A110" s="241" t="s">
        <v>153</v>
      </c>
      <c r="B110" s="242" t="s">
        <v>751</v>
      </c>
      <c r="C110" s="242" t="s">
        <v>133</v>
      </c>
      <c r="D110" s="242" t="s">
        <v>395</v>
      </c>
      <c r="E110" s="453">
        <v>66151200.420000002</v>
      </c>
      <c r="F110" s="451">
        <v>65877782.939999998</v>
      </c>
      <c r="G110" s="459">
        <f t="shared" si="1"/>
        <v>99.586677976719912</v>
      </c>
    </row>
    <row r="111" spans="1:7" ht="140.25">
      <c r="A111" s="241" t="s">
        <v>576</v>
      </c>
      <c r="B111" s="242" t="s">
        <v>755</v>
      </c>
      <c r="C111" s="242"/>
      <c r="D111" s="242"/>
      <c r="E111" s="453">
        <v>8611056.1199999992</v>
      </c>
      <c r="F111" s="451">
        <v>8611056.1199999992</v>
      </c>
      <c r="G111" s="459">
        <f t="shared" si="1"/>
        <v>100</v>
      </c>
    </row>
    <row r="112" spans="1:7" ht="25.5">
      <c r="A112" s="241" t="s">
        <v>1327</v>
      </c>
      <c r="B112" s="242" t="s">
        <v>755</v>
      </c>
      <c r="C112" s="242" t="s">
        <v>1328</v>
      </c>
      <c r="D112" s="242"/>
      <c r="E112" s="453">
        <v>8611056.1199999992</v>
      </c>
      <c r="F112" s="451">
        <v>8611056.1199999992</v>
      </c>
      <c r="G112" s="459">
        <f t="shared" si="1"/>
        <v>100</v>
      </c>
    </row>
    <row r="113" spans="1:7">
      <c r="A113" s="241" t="s">
        <v>1198</v>
      </c>
      <c r="B113" s="242" t="s">
        <v>755</v>
      </c>
      <c r="C113" s="242" t="s">
        <v>1199</v>
      </c>
      <c r="D113" s="242"/>
      <c r="E113" s="453">
        <v>8611056.1199999992</v>
      </c>
      <c r="F113" s="451">
        <v>8611056.1199999992</v>
      </c>
      <c r="G113" s="459">
        <f t="shared" si="1"/>
        <v>100</v>
      </c>
    </row>
    <row r="114" spans="1:7">
      <c r="A114" s="241" t="s">
        <v>140</v>
      </c>
      <c r="B114" s="242" t="s">
        <v>755</v>
      </c>
      <c r="C114" s="242" t="s">
        <v>1199</v>
      </c>
      <c r="D114" s="242" t="s">
        <v>1142</v>
      </c>
      <c r="E114" s="453">
        <v>8611056.1199999992</v>
      </c>
      <c r="F114" s="451">
        <v>8611056.1199999992</v>
      </c>
      <c r="G114" s="459">
        <f t="shared" si="1"/>
        <v>100</v>
      </c>
    </row>
    <row r="115" spans="1:7">
      <c r="A115" s="241" t="s">
        <v>1077</v>
      </c>
      <c r="B115" s="242" t="s">
        <v>755</v>
      </c>
      <c r="C115" s="242" t="s">
        <v>1199</v>
      </c>
      <c r="D115" s="242" t="s">
        <v>1078</v>
      </c>
      <c r="E115" s="453">
        <v>8611056.1199999992</v>
      </c>
      <c r="F115" s="451">
        <v>8611056.1199999992</v>
      </c>
      <c r="G115" s="459">
        <f t="shared" si="1"/>
        <v>100</v>
      </c>
    </row>
    <row r="116" spans="1:7" ht="140.25">
      <c r="A116" s="241" t="s">
        <v>418</v>
      </c>
      <c r="B116" s="242" t="s">
        <v>768</v>
      </c>
      <c r="C116" s="242"/>
      <c r="D116" s="242"/>
      <c r="E116" s="453">
        <v>1690000</v>
      </c>
      <c r="F116" s="451">
        <v>1690000</v>
      </c>
      <c r="G116" s="459">
        <f t="shared" si="1"/>
        <v>100</v>
      </c>
    </row>
    <row r="117" spans="1:7" ht="25.5">
      <c r="A117" s="241" t="s">
        <v>1327</v>
      </c>
      <c r="B117" s="242" t="s">
        <v>768</v>
      </c>
      <c r="C117" s="242" t="s">
        <v>1328</v>
      </c>
      <c r="D117" s="242"/>
      <c r="E117" s="453">
        <v>1690000</v>
      </c>
      <c r="F117" s="451">
        <v>1690000</v>
      </c>
      <c r="G117" s="459">
        <f t="shared" si="1"/>
        <v>100</v>
      </c>
    </row>
    <row r="118" spans="1:7">
      <c r="A118" s="241" t="s">
        <v>1198</v>
      </c>
      <c r="B118" s="242" t="s">
        <v>768</v>
      </c>
      <c r="C118" s="242" t="s">
        <v>1199</v>
      </c>
      <c r="D118" s="242"/>
      <c r="E118" s="453">
        <v>1690000</v>
      </c>
      <c r="F118" s="451">
        <v>1690000</v>
      </c>
      <c r="G118" s="459">
        <f t="shared" si="1"/>
        <v>100</v>
      </c>
    </row>
    <row r="119" spans="1:7">
      <c r="A119" s="241" t="s">
        <v>140</v>
      </c>
      <c r="B119" s="242" t="s">
        <v>768</v>
      </c>
      <c r="C119" s="242" t="s">
        <v>1199</v>
      </c>
      <c r="D119" s="242" t="s">
        <v>1142</v>
      </c>
      <c r="E119" s="453">
        <v>1690000</v>
      </c>
      <c r="F119" s="451">
        <v>1690000</v>
      </c>
      <c r="G119" s="459">
        <f t="shared" si="1"/>
        <v>100</v>
      </c>
    </row>
    <row r="120" spans="1:7">
      <c r="A120" s="241" t="s">
        <v>1075</v>
      </c>
      <c r="B120" s="242" t="s">
        <v>768</v>
      </c>
      <c r="C120" s="242" t="s">
        <v>1199</v>
      </c>
      <c r="D120" s="242" t="s">
        <v>365</v>
      </c>
      <c r="E120" s="453">
        <v>1690000</v>
      </c>
      <c r="F120" s="451">
        <v>1690000</v>
      </c>
      <c r="G120" s="459">
        <f t="shared" si="1"/>
        <v>100</v>
      </c>
    </row>
    <row r="121" spans="1:7" ht="76.5">
      <c r="A121" s="241" t="s">
        <v>1788</v>
      </c>
      <c r="B121" s="242" t="s">
        <v>1789</v>
      </c>
      <c r="C121" s="242"/>
      <c r="D121" s="242"/>
      <c r="E121" s="453">
        <v>15752100</v>
      </c>
      <c r="F121" s="451">
        <v>15229162</v>
      </c>
      <c r="G121" s="459">
        <f t="shared" si="1"/>
        <v>96.680201369976075</v>
      </c>
    </row>
    <row r="122" spans="1:7" ht="25.5">
      <c r="A122" s="241" t="s">
        <v>1327</v>
      </c>
      <c r="B122" s="242" t="s">
        <v>1789</v>
      </c>
      <c r="C122" s="242" t="s">
        <v>1328</v>
      </c>
      <c r="D122" s="242"/>
      <c r="E122" s="453">
        <v>15645943.029999999</v>
      </c>
      <c r="F122" s="451">
        <v>15229162</v>
      </c>
      <c r="G122" s="459">
        <f t="shared" si="1"/>
        <v>97.336171880462231</v>
      </c>
    </row>
    <row r="123" spans="1:7">
      <c r="A123" s="241" t="s">
        <v>1198</v>
      </c>
      <c r="B123" s="242" t="s">
        <v>1789</v>
      </c>
      <c r="C123" s="242" t="s">
        <v>1199</v>
      </c>
      <c r="D123" s="242"/>
      <c r="E123" s="453">
        <v>15450887.710000001</v>
      </c>
      <c r="F123" s="451">
        <v>15229162</v>
      </c>
      <c r="G123" s="459">
        <f t="shared" si="1"/>
        <v>98.564964588691581</v>
      </c>
    </row>
    <row r="124" spans="1:7">
      <c r="A124" s="241" t="s">
        <v>140</v>
      </c>
      <c r="B124" s="242" t="s">
        <v>1789</v>
      </c>
      <c r="C124" s="242" t="s">
        <v>1199</v>
      </c>
      <c r="D124" s="242" t="s">
        <v>1142</v>
      </c>
      <c r="E124" s="453">
        <v>15450887.710000001</v>
      </c>
      <c r="F124" s="451">
        <v>15229162</v>
      </c>
      <c r="G124" s="459">
        <f t="shared" si="1"/>
        <v>98.564964588691581</v>
      </c>
    </row>
    <row r="125" spans="1:7">
      <c r="A125" s="241" t="s">
        <v>1077</v>
      </c>
      <c r="B125" s="242" t="s">
        <v>1789</v>
      </c>
      <c r="C125" s="242" t="s">
        <v>1199</v>
      </c>
      <c r="D125" s="242" t="s">
        <v>1078</v>
      </c>
      <c r="E125" s="453">
        <v>15450887.710000001</v>
      </c>
      <c r="F125" s="451">
        <v>15229162</v>
      </c>
      <c r="G125" s="459">
        <f t="shared" si="1"/>
        <v>98.564964588691581</v>
      </c>
    </row>
    <row r="126" spans="1:7">
      <c r="A126" s="241" t="s">
        <v>2151</v>
      </c>
      <c r="B126" s="242" t="s">
        <v>1789</v>
      </c>
      <c r="C126" s="242" t="s">
        <v>2152</v>
      </c>
      <c r="D126" s="242"/>
      <c r="E126" s="453">
        <v>29283.97</v>
      </c>
      <c r="F126" s="451">
        <v>0</v>
      </c>
      <c r="G126" s="459">
        <f t="shared" si="1"/>
        <v>0</v>
      </c>
    </row>
    <row r="127" spans="1:7">
      <c r="A127" s="241" t="s">
        <v>140</v>
      </c>
      <c r="B127" s="242" t="s">
        <v>1789</v>
      </c>
      <c r="C127" s="242" t="s">
        <v>2152</v>
      </c>
      <c r="D127" s="242" t="s">
        <v>1142</v>
      </c>
      <c r="E127" s="453">
        <v>29283.97</v>
      </c>
      <c r="F127" s="451">
        <v>0</v>
      </c>
      <c r="G127" s="459">
        <f t="shared" si="1"/>
        <v>0</v>
      </c>
    </row>
    <row r="128" spans="1:7">
      <c r="A128" s="241" t="s">
        <v>1077</v>
      </c>
      <c r="B128" s="242" t="s">
        <v>1789</v>
      </c>
      <c r="C128" s="242" t="s">
        <v>2152</v>
      </c>
      <c r="D128" s="242" t="s">
        <v>1078</v>
      </c>
      <c r="E128" s="453">
        <v>29283.97</v>
      </c>
      <c r="F128" s="451">
        <v>0</v>
      </c>
      <c r="G128" s="459">
        <f t="shared" si="1"/>
        <v>0</v>
      </c>
    </row>
    <row r="129" spans="1:7" ht="51">
      <c r="A129" s="241" t="s">
        <v>1947</v>
      </c>
      <c r="B129" s="242" t="s">
        <v>1789</v>
      </c>
      <c r="C129" s="242" t="s">
        <v>1725</v>
      </c>
      <c r="D129" s="242"/>
      <c r="E129" s="453">
        <v>165771.35</v>
      </c>
      <c r="F129" s="451">
        <v>0</v>
      </c>
      <c r="G129" s="459">
        <f t="shared" si="1"/>
        <v>0</v>
      </c>
    </row>
    <row r="130" spans="1:7">
      <c r="A130" s="241" t="s">
        <v>140</v>
      </c>
      <c r="B130" s="242" t="s">
        <v>1789</v>
      </c>
      <c r="C130" s="242" t="s">
        <v>1725</v>
      </c>
      <c r="D130" s="242" t="s">
        <v>1142</v>
      </c>
      <c r="E130" s="453">
        <v>165771.35</v>
      </c>
      <c r="F130" s="451">
        <v>0</v>
      </c>
      <c r="G130" s="459">
        <f t="shared" si="1"/>
        <v>0</v>
      </c>
    </row>
    <row r="131" spans="1:7">
      <c r="A131" s="241" t="s">
        <v>1077</v>
      </c>
      <c r="B131" s="242" t="s">
        <v>1789</v>
      </c>
      <c r="C131" s="242" t="s">
        <v>1725</v>
      </c>
      <c r="D131" s="242" t="s">
        <v>1078</v>
      </c>
      <c r="E131" s="453">
        <v>165771.35</v>
      </c>
      <c r="F131" s="451">
        <v>0</v>
      </c>
      <c r="G131" s="459">
        <f t="shared" si="1"/>
        <v>0</v>
      </c>
    </row>
    <row r="132" spans="1:7">
      <c r="A132" s="241" t="s">
        <v>1321</v>
      </c>
      <c r="B132" s="242" t="s">
        <v>1789</v>
      </c>
      <c r="C132" s="242" t="s">
        <v>1322</v>
      </c>
      <c r="D132" s="242"/>
      <c r="E132" s="453">
        <v>106156.97</v>
      </c>
      <c r="F132" s="451">
        <v>0</v>
      </c>
      <c r="G132" s="459">
        <f t="shared" si="1"/>
        <v>0</v>
      </c>
    </row>
    <row r="133" spans="1:7" ht="38.25">
      <c r="A133" s="241" t="s">
        <v>1206</v>
      </c>
      <c r="B133" s="242" t="s">
        <v>1789</v>
      </c>
      <c r="C133" s="242" t="s">
        <v>354</v>
      </c>
      <c r="D133" s="242"/>
      <c r="E133" s="453">
        <v>106156.97</v>
      </c>
      <c r="F133" s="451">
        <v>0</v>
      </c>
      <c r="G133" s="459">
        <f t="shared" si="1"/>
        <v>0</v>
      </c>
    </row>
    <row r="134" spans="1:7">
      <c r="A134" s="241" t="s">
        <v>140</v>
      </c>
      <c r="B134" s="242" t="s">
        <v>1789</v>
      </c>
      <c r="C134" s="242" t="s">
        <v>354</v>
      </c>
      <c r="D134" s="242" t="s">
        <v>1142</v>
      </c>
      <c r="E134" s="453">
        <v>106156.97</v>
      </c>
      <c r="F134" s="451">
        <v>0</v>
      </c>
      <c r="G134" s="459">
        <f t="shared" si="1"/>
        <v>0</v>
      </c>
    </row>
    <row r="135" spans="1:7">
      <c r="A135" s="241" t="s">
        <v>1077</v>
      </c>
      <c r="B135" s="242" t="s">
        <v>1789</v>
      </c>
      <c r="C135" s="242" t="s">
        <v>354</v>
      </c>
      <c r="D135" s="242" t="s">
        <v>1078</v>
      </c>
      <c r="E135" s="453">
        <v>106156.97</v>
      </c>
      <c r="F135" s="451">
        <v>0</v>
      </c>
      <c r="G135" s="459">
        <f t="shared" ref="G135:G198" si="2">F135/E135*100</f>
        <v>0</v>
      </c>
    </row>
    <row r="136" spans="1:7" ht="114.75">
      <c r="A136" s="241" t="s">
        <v>2084</v>
      </c>
      <c r="B136" s="242" t="s">
        <v>2085</v>
      </c>
      <c r="C136" s="242"/>
      <c r="D136" s="242"/>
      <c r="E136" s="453">
        <v>20000</v>
      </c>
      <c r="F136" s="451">
        <v>19710</v>
      </c>
      <c r="G136" s="459">
        <f t="shared" si="2"/>
        <v>98.550000000000011</v>
      </c>
    </row>
    <row r="137" spans="1:7" ht="25.5">
      <c r="A137" s="241" t="s">
        <v>1319</v>
      </c>
      <c r="B137" s="242" t="s">
        <v>2085</v>
      </c>
      <c r="C137" s="242" t="s">
        <v>1320</v>
      </c>
      <c r="D137" s="242"/>
      <c r="E137" s="453">
        <v>20000</v>
      </c>
      <c r="F137" s="451">
        <v>19710</v>
      </c>
      <c r="G137" s="459">
        <f t="shared" si="2"/>
        <v>98.550000000000011</v>
      </c>
    </row>
    <row r="138" spans="1:7" ht="25.5">
      <c r="A138" s="241" t="s">
        <v>1196</v>
      </c>
      <c r="B138" s="242" t="s">
        <v>2085</v>
      </c>
      <c r="C138" s="242" t="s">
        <v>1197</v>
      </c>
      <c r="D138" s="242"/>
      <c r="E138" s="453">
        <v>20000</v>
      </c>
      <c r="F138" s="451">
        <v>19710</v>
      </c>
      <c r="G138" s="459">
        <f t="shared" si="2"/>
        <v>98.550000000000011</v>
      </c>
    </row>
    <row r="139" spans="1:7">
      <c r="A139" s="241" t="s">
        <v>140</v>
      </c>
      <c r="B139" s="242" t="s">
        <v>2085</v>
      </c>
      <c r="C139" s="242" t="s">
        <v>1197</v>
      </c>
      <c r="D139" s="242" t="s">
        <v>1142</v>
      </c>
      <c r="E139" s="453">
        <v>20000</v>
      </c>
      <c r="F139" s="451">
        <v>19710</v>
      </c>
      <c r="G139" s="459">
        <f t="shared" si="2"/>
        <v>98.550000000000011</v>
      </c>
    </row>
    <row r="140" spans="1:7">
      <c r="A140" s="241" t="s">
        <v>152</v>
      </c>
      <c r="B140" s="242" t="s">
        <v>2085</v>
      </c>
      <c r="C140" s="242" t="s">
        <v>1197</v>
      </c>
      <c r="D140" s="242" t="s">
        <v>408</v>
      </c>
      <c r="E140" s="453">
        <v>20000</v>
      </c>
      <c r="F140" s="451">
        <v>19710</v>
      </c>
      <c r="G140" s="459">
        <f t="shared" si="2"/>
        <v>98.550000000000011</v>
      </c>
    </row>
    <row r="141" spans="1:7" ht="127.5">
      <c r="A141" s="241" t="s">
        <v>530</v>
      </c>
      <c r="B141" s="242" t="s">
        <v>757</v>
      </c>
      <c r="C141" s="242"/>
      <c r="D141" s="242"/>
      <c r="E141" s="453">
        <v>5935756</v>
      </c>
      <c r="F141" s="451">
        <v>3327756</v>
      </c>
      <c r="G141" s="459">
        <f t="shared" si="2"/>
        <v>56.062883986471149</v>
      </c>
    </row>
    <row r="142" spans="1:7" ht="63.75">
      <c r="A142" s="241" t="s">
        <v>1318</v>
      </c>
      <c r="B142" s="242" t="s">
        <v>757</v>
      </c>
      <c r="C142" s="242" t="s">
        <v>273</v>
      </c>
      <c r="D142" s="242"/>
      <c r="E142" s="453">
        <v>1311185.6599999999</v>
      </c>
      <c r="F142" s="451">
        <v>735744.45</v>
      </c>
      <c r="G142" s="459">
        <f t="shared" si="2"/>
        <v>56.112911576534472</v>
      </c>
    </row>
    <row r="143" spans="1:7">
      <c r="A143" s="241" t="s">
        <v>1190</v>
      </c>
      <c r="B143" s="242" t="s">
        <v>757</v>
      </c>
      <c r="C143" s="242" t="s">
        <v>133</v>
      </c>
      <c r="D143" s="242"/>
      <c r="E143" s="453">
        <v>1311185.6599999999</v>
      </c>
      <c r="F143" s="451">
        <v>735744.45</v>
      </c>
      <c r="G143" s="459">
        <f t="shared" si="2"/>
        <v>56.112911576534472</v>
      </c>
    </row>
    <row r="144" spans="1:7">
      <c r="A144" s="241" t="s">
        <v>140</v>
      </c>
      <c r="B144" s="242" t="s">
        <v>757</v>
      </c>
      <c r="C144" s="242" t="s">
        <v>133</v>
      </c>
      <c r="D144" s="242" t="s">
        <v>1142</v>
      </c>
      <c r="E144" s="453">
        <v>1311185.6599999999</v>
      </c>
      <c r="F144" s="451">
        <v>735744.45</v>
      </c>
      <c r="G144" s="459">
        <f t="shared" si="2"/>
        <v>56.112911576534472</v>
      </c>
    </row>
    <row r="145" spans="1:7">
      <c r="A145" s="241" t="s">
        <v>153</v>
      </c>
      <c r="B145" s="242" t="s">
        <v>757</v>
      </c>
      <c r="C145" s="242" t="s">
        <v>133</v>
      </c>
      <c r="D145" s="242" t="s">
        <v>395</v>
      </c>
      <c r="E145" s="453">
        <v>1311185.6599999999</v>
      </c>
      <c r="F145" s="451">
        <v>735744.45000000007</v>
      </c>
      <c r="G145" s="459">
        <f t="shared" si="2"/>
        <v>56.112911576534486</v>
      </c>
    </row>
    <row r="146" spans="1:7" ht="25.5">
      <c r="A146" s="241" t="s">
        <v>1319</v>
      </c>
      <c r="B146" s="242" t="s">
        <v>757</v>
      </c>
      <c r="C146" s="242" t="s">
        <v>1320</v>
      </c>
      <c r="D146" s="242"/>
      <c r="E146" s="453">
        <v>4624570.34</v>
      </c>
      <c r="F146" s="451">
        <v>2592011.5499999998</v>
      </c>
      <c r="G146" s="459">
        <f t="shared" si="2"/>
        <v>56.048699866894012</v>
      </c>
    </row>
    <row r="147" spans="1:7" ht="25.5">
      <c r="A147" s="241" t="s">
        <v>1196</v>
      </c>
      <c r="B147" s="242" t="s">
        <v>757</v>
      </c>
      <c r="C147" s="242" t="s">
        <v>1197</v>
      </c>
      <c r="D147" s="242"/>
      <c r="E147" s="453">
        <v>4624570.34</v>
      </c>
      <c r="F147" s="451">
        <v>2592011.5499999998</v>
      </c>
      <c r="G147" s="459">
        <f t="shared" si="2"/>
        <v>56.048699866894012</v>
      </c>
    </row>
    <row r="148" spans="1:7">
      <c r="A148" s="241" t="s">
        <v>140</v>
      </c>
      <c r="B148" s="242" t="s">
        <v>757</v>
      </c>
      <c r="C148" s="242" t="s">
        <v>1197</v>
      </c>
      <c r="D148" s="242" t="s">
        <v>1142</v>
      </c>
      <c r="E148" s="453">
        <v>4624570.34</v>
      </c>
      <c r="F148" s="451">
        <v>2592011.5499999998</v>
      </c>
      <c r="G148" s="459">
        <f t="shared" si="2"/>
        <v>56.048699866894012</v>
      </c>
    </row>
    <row r="149" spans="1:7">
      <c r="A149" s="241" t="s">
        <v>153</v>
      </c>
      <c r="B149" s="242" t="s">
        <v>757</v>
      </c>
      <c r="C149" s="242" t="s">
        <v>1197</v>
      </c>
      <c r="D149" s="242" t="s">
        <v>395</v>
      </c>
      <c r="E149" s="453">
        <v>4624570.34</v>
      </c>
      <c r="F149" s="451">
        <v>2592011.5499999998</v>
      </c>
      <c r="G149" s="459">
        <f t="shared" si="2"/>
        <v>56.048699866894012</v>
      </c>
    </row>
    <row r="150" spans="1:7" ht="114.75">
      <c r="A150" s="241" t="s">
        <v>577</v>
      </c>
      <c r="B150" s="242" t="s">
        <v>756</v>
      </c>
      <c r="C150" s="242"/>
      <c r="D150" s="242"/>
      <c r="E150" s="453">
        <v>78700</v>
      </c>
      <c r="F150" s="451">
        <v>78700</v>
      </c>
      <c r="G150" s="459">
        <f t="shared" si="2"/>
        <v>100</v>
      </c>
    </row>
    <row r="151" spans="1:7" ht="25.5">
      <c r="A151" s="241" t="s">
        <v>1327</v>
      </c>
      <c r="B151" s="242" t="s">
        <v>756</v>
      </c>
      <c r="C151" s="242" t="s">
        <v>1328</v>
      </c>
      <c r="D151" s="242"/>
      <c r="E151" s="453">
        <v>78700</v>
      </c>
      <c r="F151" s="451">
        <v>78700</v>
      </c>
      <c r="G151" s="459">
        <f t="shared" si="2"/>
        <v>100</v>
      </c>
    </row>
    <row r="152" spans="1:7">
      <c r="A152" s="241" t="s">
        <v>1198</v>
      </c>
      <c r="B152" s="242" t="s">
        <v>756</v>
      </c>
      <c r="C152" s="242" t="s">
        <v>1199</v>
      </c>
      <c r="D152" s="242"/>
      <c r="E152" s="453">
        <v>78700</v>
      </c>
      <c r="F152" s="451">
        <v>78700</v>
      </c>
      <c r="G152" s="459">
        <f t="shared" si="2"/>
        <v>100</v>
      </c>
    </row>
    <row r="153" spans="1:7">
      <c r="A153" s="241" t="s">
        <v>140</v>
      </c>
      <c r="B153" s="242" t="s">
        <v>756</v>
      </c>
      <c r="C153" s="242" t="s">
        <v>1199</v>
      </c>
      <c r="D153" s="242" t="s">
        <v>1142</v>
      </c>
      <c r="E153" s="453">
        <v>78700</v>
      </c>
      <c r="F153" s="451">
        <v>78700</v>
      </c>
      <c r="G153" s="459">
        <f t="shared" si="2"/>
        <v>100</v>
      </c>
    </row>
    <row r="154" spans="1:7">
      <c r="A154" s="241" t="s">
        <v>1077</v>
      </c>
      <c r="B154" s="242" t="s">
        <v>756</v>
      </c>
      <c r="C154" s="242" t="s">
        <v>1199</v>
      </c>
      <c r="D154" s="242" t="s">
        <v>1078</v>
      </c>
      <c r="E154" s="453">
        <v>78700</v>
      </c>
      <c r="F154" s="451">
        <v>78700</v>
      </c>
      <c r="G154" s="459">
        <f t="shared" si="2"/>
        <v>100</v>
      </c>
    </row>
    <row r="155" spans="1:7" ht="102">
      <c r="A155" s="241" t="s">
        <v>573</v>
      </c>
      <c r="B155" s="242" t="s">
        <v>744</v>
      </c>
      <c r="C155" s="242"/>
      <c r="D155" s="242"/>
      <c r="E155" s="453">
        <v>502003.77</v>
      </c>
      <c r="F155" s="451">
        <v>502003.37</v>
      </c>
      <c r="G155" s="459">
        <f t="shared" si="2"/>
        <v>99.999920319323493</v>
      </c>
    </row>
    <row r="156" spans="1:7" ht="63.75">
      <c r="A156" s="241" t="s">
        <v>1318</v>
      </c>
      <c r="B156" s="242" t="s">
        <v>744</v>
      </c>
      <c r="C156" s="242" t="s">
        <v>273</v>
      </c>
      <c r="D156" s="242"/>
      <c r="E156" s="453">
        <v>502003.77</v>
      </c>
      <c r="F156" s="451">
        <v>502003.37</v>
      </c>
      <c r="G156" s="459">
        <f t="shared" si="2"/>
        <v>99.999920319323493</v>
      </c>
    </row>
    <row r="157" spans="1:7">
      <c r="A157" s="241" t="s">
        <v>1190</v>
      </c>
      <c r="B157" s="242" t="s">
        <v>744</v>
      </c>
      <c r="C157" s="242" t="s">
        <v>133</v>
      </c>
      <c r="D157" s="242"/>
      <c r="E157" s="453">
        <v>502003.77</v>
      </c>
      <c r="F157" s="451">
        <v>502003.37</v>
      </c>
      <c r="G157" s="459">
        <f t="shared" si="2"/>
        <v>99.999920319323493</v>
      </c>
    </row>
    <row r="158" spans="1:7">
      <c r="A158" s="241" t="s">
        <v>140</v>
      </c>
      <c r="B158" s="242" t="s">
        <v>744</v>
      </c>
      <c r="C158" s="242" t="s">
        <v>133</v>
      </c>
      <c r="D158" s="242" t="s">
        <v>1142</v>
      </c>
      <c r="E158" s="453">
        <v>502003.77</v>
      </c>
      <c r="F158" s="451">
        <v>502003.37</v>
      </c>
      <c r="G158" s="459">
        <f t="shared" si="2"/>
        <v>99.999920319323493</v>
      </c>
    </row>
    <row r="159" spans="1:7">
      <c r="A159" s="241" t="s">
        <v>152</v>
      </c>
      <c r="B159" s="242" t="s">
        <v>744</v>
      </c>
      <c r="C159" s="242" t="s">
        <v>133</v>
      </c>
      <c r="D159" s="242" t="s">
        <v>408</v>
      </c>
      <c r="E159" s="453">
        <v>502003.77</v>
      </c>
      <c r="F159" s="451">
        <v>502003.37</v>
      </c>
      <c r="G159" s="459">
        <f t="shared" si="2"/>
        <v>99.999920319323493</v>
      </c>
    </row>
    <row r="160" spans="1:7" ht="114.75">
      <c r="A160" s="241" t="s">
        <v>578</v>
      </c>
      <c r="B160" s="242" t="s">
        <v>752</v>
      </c>
      <c r="C160" s="242"/>
      <c r="D160" s="242"/>
      <c r="E160" s="453">
        <v>431960.92</v>
      </c>
      <c r="F160" s="451">
        <v>424473.42</v>
      </c>
      <c r="G160" s="459">
        <f t="shared" si="2"/>
        <v>98.266625601223367</v>
      </c>
    </row>
    <row r="161" spans="1:7" ht="63.75">
      <c r="A161" s="241" t="s">
        <v>1318</v>
      </c>
      <c r="B161" s="242" t="s">
        <v>752</v>
      </c>
      <c r="C161" s="242" t="s">
        <v>273</v>
      </c>
      <c r="D161" s="242"/>
      <c r="E161" s="453">
        <v>431960.92</v>
      </c>
      <c r="F161" s="451">
        <v>424473.42</v>
      </c>
      <c r="G161" s="459">
        <f t="shared" si="2"/>
        <v>98.266625601223367</v>
      </c>
    </row>
    <row r="162" spans="1:7">
      <c r="A162" s="241" t="s">
        <v>1190</v>
      </c>
      <c r="B162" s="242" t="s">
        <v>752</v>
      </c>
      <c r="C162" s="242" t="s">
        <v>133</v>
      </c>
      <c r="D162" s="242"/>
      <c r="E162" s="453">
        <v>431960.92</v>
      </c>
      <c r="F162" s="451">
        <v>424473.42</v>
      </c>
      <c r="G162" s="459">
        <f t="shared" si="2"/>
        <v>98.266625601223367</v>
      </c>
    </row>
    <row r="163" spans="1:7">
      <c r="A163" s="241" t="s">
        <v>140</v>
      </c>
      <c r="B163" s="242" t="s">
        <v>752</v>
      </c>
      <c r="C163" s="242" t="s">
        <v>133</v>
      </c>
      <c r="D163" s="242" t="s">
        <v>1142</v>
      </c>
      <c r="E163" s="453">
        <v>431960.92</v>
      </c>
      <c r="F163" s="451">
        <v>424473.42</v>
      </c>
      <c r="G163" s="459">
        <f t="shared" si="2"/>
        <v>98.266625601223367</v>
      </c>
    </row>
    <row r="164" spans="1:7">
      <c r="A164" s="241" t="s">
        <v>153</v>
      </c>
      <c r="B164" s="242" t="s">
        <v>752</v>
      </c>
      <c r="C164" s="242" t="s">
        <v>133</v>
      </c>
      <c r="D164" s="242" t="s">
        <v>395</v>
      </c>
      <c r="E164" s="453">
        <v>431960.92</v>
      </c>
      <c r="F164" s="451">
        <v>424473.42</v>
      </c>
      <c r="G164" s="459">
        <f t="shared" si="2"/>
        <v>98.266625601223367</v>
      </c>
    </row>
    <row r="165" spans="1:7" ht="102">
      <c r="A165" s="241" t="s">
        <v>579</v>
      </c>
      <c r="B165" s="242" t="s">
        <v>759</v>
      </c>
      <c r="C165" s="242"/>
      <c r="D165" s="242"/>
      <c r="E165" s="453">
        <v>580160</v>
      </c>
      <c r="F165" s="451">
        <v>428875.65</v>
      </c>
      <c r="G165" s="459">
        <f t="shared" si="2"/>
        <v>73.923684845559848</v>
      </c>
    </row>
    <row r="166" spans="1:7" ht="25.5">
      <c r="A166" s="241" t="s">
        <v>1327</v>
      </c>
      <c r="B166" s="242" t="s">
        <v>759</v>
      </c>
      <c r="C166" s="242" t="s">
        <v>1328</v>
      </c>
      <c r="D166" s="242"/>
      <c r="E166" s="453">
        <v>580160</v>
      </c>
      <c r="F166" s="451">
        <v>428875.65</v>
      </c>
      <c r="G166" s="459">
        <f t="shared" si="2"/>
        <v>73.923684845559848</v>
      </c>
    </row>
    <row r="167" spans="1:7">
      <c r="A167" s="241" t="s">
        <v>1198</v>
      </c>
      <c r="B167" s="242" t="s">
        <v>759</v>
      </c>
      <c r="C167" s="242" t="s">
        <v>1199</v>
      </c>
      <c r="D167" s="242"/>
      <c r="E167" s="453">
        <v>580160</v>
      </c>
      <c r="F167" s="451">
        <v>428875.65</v>
      </c>
      <c r="G167" s="459">
        <f t="shared" si="2"/>
        <v>73.923684845559848</v>
      </c>
    </row>
    <row r="168" spans="1:7">
      <c r="A168" s="241" t="s">
        <v>140</v>
      </c>
      <c r="B168" s="242" t="s">
        <v>759</v>
      </c>
      <c r="C168" s="242" t="s">
        <v>1199</v>
      </c>
      <c r="D168" s="242" t="s">
        <v>1142</v>
      </c>
      <c r="E168" s="453">
        <v>580160</v>
      </c>
      <c r="F168" s="451">
        <v>428875.65</v>
      </c>
      <c r="G168" s="459">
        <f t="shared" si="2"/>
        <v>73.923684845559848</v>
      </c>
    </row>
    <row r="169" spans="1:7">
      <c r="A169" s="241" t="s">
        <v>1077</v>
      </c>
      <c r="B169" s="242" t="s">
        <v>759</v>
      </c>
      <c r="C169" s="242" t="s">
        <v>1199</v>
      </c>
      <c r="D169" s="242" t="s">
        <v>1078</v>
      </c>
      <c r="E169" s="453">
        <v>580160</v>
      </c>
      <c r="F169" s="451">
        <v>428875.65</v>
      </c>
      <c r="G169" s="459">
        <f t="shared" si="2"/>
        <v>73.923684845559848</v>
      </c>
    </row>
    <row r="170" spans="1:7" ht="102">
      <c r="A170" s="241" t="s">
        <v>574</v>
      </c>
      <c r="B170" s="242" t="s">
        <v>745</v>
      </c>
      <c r="C170" s="242"/>
      <c r="D170" s="242"/>
      <c r="E170" s="453">
        <v>47955935.869999997</v>
      </c>
      <c r="F170" s="451">
        <v>46652728.119999997</v>
      </c>
      <c r="G170" s="459">
        <f t="shared" si="2"/>
        <v>97.282489171866516</v>
      </c>
    </row>
    <row r="171" spans="1:7" ht="25.5">
      <c r="A171" s="241" t="s">
        <v>1319</v>
      </c>
      <c r="B171" s="242" t="s">
        <v>745</v>
      </c>
      <c r="C171" s="242" t="s">
        <v>1320</v>
      </c>
      <c r="D171" s="242"/>
      <c r="E171" s="453">
        <v>47955935.869999997</v>
      </c>
      <c r="F171" s="451">
        <v>46652728.119999997</v>
      </c>
      <c r="G171" s="459">
        <f t="shared" si="2"/>
        <v>97.282489171866516</v>
      </c>
    </row>
    <row r="172" spans="1:7" ht="25.5">
      <c r="A172" s="241" t="s">
        <v>1196</v>
      </c>
      <c r="B172" s="242" t="s">
        <v>745</v>
      </c>
      <c r="C172" s="242" t="s">
        <v>1197</v>
      </c>
      <c r="D172" s="242"/>
      <c r="E172" s="453">
        <v>47955935.869999997</v>
      </c>
      <c r="F172" s="451">
        <v>46652728.119999997</v>
      </c>
      <c r="G172" s="459">
        <f t="shared" si="2"/>
        <v>97.282489171866516</v>
      </c>
    </row>
    <row r="173" spans="1:7">
      <c r="A173" s="241" t="s">
        <v>140</v>
      </c>
      <c r="B173" s="242" t="s">
        <v>745</v>
      </c>
      <c r="C173" s="242" t="s">
        <v>1197</v>
      </c>
      <c r="D173" s="242" t="s">
        <v>1142</v>
      </c>
      <c r="E173" s="453">
        <v>47955935.869999997</v>
      </c>
      <c r="F173" s="451">
        <v>46652728.119999997</v>
      </c>
      <c r="G173" s="459">
        <f t="shared" si="2"/>
        <v>97.282489171866516</v>
      </c>
    </row>
    <row r="174" spans="1:7">
      <c r="A174" s="241" t="s">
        <v>152</v>
      </c>
      <c r="B174" s="242" t="s">
        <v>745</v>
      </c>
      <c r="C174" s="242" t="s">
        <v>1197</v>
      </c>
      <c r="D174" s="242" t="s">
        <v>408</v>
      </c>
      <c r="E174" s="453">
        <v>47955935.869999997</v>
      </c>
      <c r="F174" s="451">
        <v>46652728.119999997</v>
      </c>
      <c r="G174" s="459">
        <f t="shared" si="2"/>
        <v>97.282489171866516</v>
      </c>
    </row>
    <row r="175" spans="1:7" ht="114.75">
      <c r="A175" s="241" t="s">
        <v>580</v>
      </c>
      <c r="B175" s="242" t="s">
        <v>753</v>
      </c>
      <c r="C175" s="242"/>
      <c r="D175" s="242"/>
      <c r="E175" s="453">
        <v>111842231.11</v>
      </c>
      <c r="F175" s="451">
        <v>108309993.25</v>
      </c>
      <c r="G175" s="459">
        <f t="shared" si="2"/>
        <v>96.841767349467531</v>
      </c>
    </row>
    <row r="176" spans="1:7" ht="25.5">
      <c r="A176" s="241" t="s">
        <v>1319</v>
      </c>
      <c r="B176" s="242" t="s">
        <v>753</v>
      </c>
      <c r="C176" s="242" t="s">
        <v>1320</v>
      </c>
      <c r="D176" s="242"/>
      <c r="E176" s="453">
        <v>111842231.11</v>
      </c>
      <c r="F176" s="451">
        <v>108309993.25</v>
      </c>
      <c r="G176" s="459">
        <f t="shared" si="2"/>
        <v>96.841767349467531</v>
      </c>
    </row>
    <row r="177" spans="1:7" ht="25.5">
      <c r="A177" s="241" t="s">
        <v>1196</v>
      </c>
      <c r="B177" s="242" t="s">
        <v>753</v>
      </c>
      <c r="C177" s="242" t="s">
        <v>1197</v>
      </c>
      <c r="D177" s="242"/>
      <c r="E177" s="453">
        <v>111842231.11</v>
      </c>
      <c r="F177" s="451">
        <v>108309993.25</v>
      </c>
      <c r="G177" s="459">
        <f t="shared" si="2"/>
        <v>96.841767349467531</v>
      </c>
    </row>
    <row r="178" spans="1:7">
      <c r="A178" s="241" t="s">
        <v>140</v>
      </c>
      <c r="B178" s="242" t="s">
        <v>753</v>
      </c>
      <c r="C178" s="242" t="s">
        <v>1197</v>
      </c>
      <c r="D178" s="242" t="s">
        <v>1142</v>
      </c>
      <c r="E178" s="453">
        <v>111842231.11</v>
      </c>
      <c r="F178" s="451">
        <v>108309993.25</v>
      </c>
      <c r="G178" s="459">
        <f t="shared" si="2"/>
        <v>96.841767349467531</v>
      </c>
    </row>
    <row r="179" spans="1:7">
      <c r="A179" s="241" t="s">
        <v>153</v>
      </c>
      <c r="B179" s="242" t="s">
        <v>753</v>
      </c>
      <c r="C179" s="242" t="s">
        <v>1197</v>
      </c>
      <c r="D179" s="242" t="s">
        <v>395</v>
      </c>
      <c r="E179" s="453">
        <v>111842231.11</v>
      </c>
      <c r="F179" s="451">
        <v>108309993.25</v>
      </c>
      <c r="G179" s="459">
        <f t="shared" si="2"/>
        <v>96.841767349467531</v>
      </c>
    </row>
    <row r="180" spans="1:7" ht="102">
      <c r="A180" s="241" t="s">
        <v>581</v>
      </c>
      <c r="B180" s="242" t="s">
        <v>760</v>
      </c>
      <c r="C180" s="242"/>
      <c r="D180" s="242"/>
      <c r="E180" s="453">
        <v>3503702</v>
      </c>
      <c r="F180" s="451">
        <v>3503702</v>
      </c>
      <c r="G180" s="459">
        <f t="shared" si="2"/>
        <v>100</v>
      </c>
    </row>
    <row r="181" spans="1:7" ht="25.5">
      <c r="A181" s="241" t="s">
        <v>1327</v>
      </c>
      <c r="B181" s="242" t="s">
        <v>760</v>
      </c>
      <c r="C181" s="242" t="s">
        <v>1328</v>
      </c>
      <c r="D181" s="242"/>
      <c r="E181" s="453">
        <v>3503702</v>
      </c>
      <c r="F181" s="451">
        <v>3503702</v>
      </c>
      <c r="G181" s="459">
        <f t="shared" si="2"/>
        <v>100</v>
      </c>
    </row>
    <row r="182" spans="1:7">
      <c r="A182" s="241" t="s">
        <v>1198</v>
      </c>
      <c r="B182" s="242" t="s">
        <v>760</v>
      </c>
      <c r="C182" s="242" t="s">
        <v>1199</v>
      </c>
      <c r="D182" s="242"/>
      <c r="E182" s="453">
        <v>3503702</v>
      </c>
      <c r="F182" s="451">
        <v>3503702</v>
      </c>
      <c r="G182" s="459">
        <f t="shared" si="2"/>
        <v>100</v>
      </c>
    </row>
    <row r="183" spans="1:7">
      <c r="A183" s="241" t="s">
        <v>140</v>
      </c>
      <c r="B183" s="242" t="s">
        <v>760</v>
      </c>
      <c r="C183" s="242" t="s">
        <v>1199</v>
      </c>
      <c r="D183" s="242" t="s">
        <v>1142</v>
      </c>
      <c r="E183" s="453">
        <v>2978606</v>
      </c>
      <c r="F183" s="451">
        <v>2978606</v>
      </c>
      <c r="G183" s="459">
        <f t="shared" si="2"/>
        <v>100</v>
      </c>
    </row>
    <row r="184" spans="1:7">
      <c r="A184" s="241" t="s">
        <v>1077</v>
      </c>
      <c r="B184" s="242" t="s">
        <v>760</v>
      </c>
      <c r="C184" s="242" t="s">
        <v>1199</v>
      </c>
      <c r="D184" s="242" t="s">
        <v>1078</v>
      </c>
      <c r="E184" s="453">
        <v>2978606</v>
      </c>
      <c r="F184" s="451">
        <v>2978606</v>
      </c>
      <c r="G184" s="459">
        <f t="shared" si="2"/>
        <v>100</v>
      </c>
    </row>
    <row r="185" spans="1:7">
      <c r="A185" s="241" t="s">
        <v>248</v>
      </c>
      <c r="B185" s="242" t="s">
        <v>760</v>
      </c>
      <c r="C185" s="242" t="s">
        <v>1199</v>
      </c>
      <c r="D185" s="242" t="s">
        <v>1144</v>
      </c>
      <c r="E185" s="453">
        <v>525096</v>
      </c>
      <c r="F185" s="451">
        <v>525096</v>
      </c>
      <c r="G185" s="459">
        <f t="shared" si="2"/>
        <v>100</v>
      </c>
    </row>
    <row r="186" spans="1:7">
      <c r="A186" s="241" t="s">
        <v>1228</v>
      </c>
      <c r="B186" s="242" t="s">
        <v>760</v>
      </c>
      <c r="C186" s="242" t="s">
        <v>1199</v>
      </c>
      <c r="D186" s="242" t="s">
        <v>1229</v>
      </c>
      <c r="E186" s="453">
        <v>525096</v>
      </c>
      <c r="F186" s="451">
        <v>525096</v>
      </c>
      <c r="G186" s="459">
        <f t="shared" si="2"/>
        <v>100</v>
      </c>
    </row>
    <row r="187" spans="1:7" ht="114.75">
      <c r="A187" s="241" t="s">
        <v>1149</v>
      </c>
      <c r="B187" s="242" t="s">
        <v>1150</v>
      </c>
      <c r="C187" s="242"/>
      <c r="D187" s="242"/>
      <c r="E187" s="453">
        <v>59000</v>
      </c>
      <c r="F187" s="451">
        <v>59000</v>
      </c>
      <c r="G187" s="459">
        <f t="shared" si="2"/>
        <v>100</v>
      </c>
    </row>
    <row r="188" spans="1:7" ht="25.5">
      <c r="A188" s="241" t="s">
        <v>1327</v>
      </c>
      <c r="B188" s="242" t="s">
        <v>1150</v>
      </c>
      <c r="C188" s="242" t="s">
        <v>1328</v>
      </c>
      <c r="D188" s="242"/>
      <c r="E188" s="453">
        <v>59000</v>
      </c>
      <c r="F188" s="451">
        <v>59000</v>
      </c>
      <c r="G188" s="459">
        <f t="shared" si="2"/>
        <v>100</v>
      </c>
    </row>
    <row r="189" spans="1:7">
      <c r="A189" s="241" t="s">
        <v>1198</v>
      </c>
      <c r="B189" s="242" t="s">
        <v>1150</v>
      </c>
      <c r="C189" s="242" t="s">
        <v>1199</v>
      </c>
      <c r="D189" s="242"/>
      <c r="E189" s="453">
        <v>59000</v>
      </c>
      <c r="F189" s="451">
        <v>59000</v>
      </c>
      <c r="G189" s="459">
        <f t="shared" si="2"/>
        <v>100</v>
      </c>
    </row>
    <row r="190" spans="1:7">
      <c r="A190" s="241" t="s">
        <v>140</v>
      </c>
      <c r="B190" s="242" t="s">
        <v>1150</v>
      </c>
      <c r="C190" s="242" t="s">
        <v>1199</v>
      </c>
      <c r="D190" s="242" t="s">
        <v>1142</v>
      </c>
      <c r="E190" s="453">
        <v>59000</v>
      </c>
      <c r="F190" s="451">
        <v>59000</v>
      </c>
      <c r="G190" s="459">
        <f t="shared" si="2"/>
        <v>100</v>
      </c>
    </row>
    <row r="191" spans="1:7">
      <c r="A191" s="241" t="s">
        <v>1075</v>
      </c>
      <c r="B191" s="242" t="s">
        <v>1150</v>
      </c>
      <c r="C191" s="242" t="s">
        <v>1199</v>
      </c>
      <c r="D191" s="242" t="s">
        <v>365</v>
      </c>
      <c r="E191" s="453">
        <v>59000</v>
      </c>
      <c r="F191" s="451">
        <v>59000</v>
      </c>
      <c r="G191" s="459">
        <f t="shared" si="2"/>
        <v>100</v>
      </c>
    </row>
    <row r="192" spans="1:7" ht="114.75">
      <c r="A192" s="241" t="s">
        <v>1781</v>
      </c>
      <c r="B192" s="242" t="s">
        <v>1782</v>
      </c>
      <c r="C192" s="242"/>
      <c r="D192" s="242"/>
      <c r="E192" s="453">
        <v>1179909.73</v>
      </c>
      <c r="F192" s="451">
        <v>1163839.6200000001</v>
      </c>
      <c r="G192" s="459">
        <f t="shared" si="2"/>
        <v>98.638022079875569</v>
      </c>
    </row>
    <row r="193" spans="1:7" ht="25.5">
      <c r="A193" s="241" t="s">
        <v>1319</v>
      </c>
      <c r="B193" s="242" t="s">
        <v>1782</v>
      </c>
      <c r="C193" s="242" t="s">
        <v>1320</v>
      </c>
      <c r="D193" s="242"/>
      <c r="E193" s="453">
        <v>1179909.73</v>
      </c>
      <c r="F193" s="451">
        <v>1163839.6200000001</v>
      </c>
      <c r="G193" s="459">
        <f t="shared" si="2"/>
        <v>98.638022079875569</v>
      </c>
    </row>
    <row r="194" spans="1:7" ht="25.5">
      <c r="A194" s="241" t="s">
        <v>1196</v>
      </c>
      <c r="B194" s="242" t="s">
        <v>1782</v>
      </c>
      <c r="C194" s="242" t="s">
        <v>1197</v>
      </c>
      <c r="D194" s="242"/>
      <c r="E194" s="453">
        <v>1179909.73</v>
      </c>
      <c r="F194" s="451">
        <v>1163839.6200000001</v>
      </c>
      <c r="G194" s="459">
        <f t="shared" si="2"/>
        <v>98.638022079875569</v>
      </c>
    </row>
    <row r="195" spans="1:7">
      <c r="A195" s="241" t="s">
        <v>140</v>
      </c>
      <c r="B195" s="242" t="s">
        <v>1782</v>
      </c>
      <c r="C195" s="242" t="s">
        <v>1197</v>
      </c>
      <c r="D195" s="242" t="s">
        <v>1142</v>
      </c>
      <c r="E195" s="453">
        <v>1179909.73</v>
      </c>
      <c r="F195" s="451">
        <v>1163839.6200000001</v>
      </c>
      <c r="G195" s="459">
        <f t="shared" si="2"/>
        <v>98.638022079875569</v>
      </c>
    </row>
    <row r="196" spans="1:7">
      <c r="A196" s="241" t="s">
        <v>152</v>
      </c>
      <c r="B196" s="242" t="s">
        <v>1782</v>
      </c>
      <c r="C196" s="242" t="s">
        <v>1197</v>
      </c>
      <c r="D196" s="242" t="s">
        <v>408</v>
      </c>
      <c r="E196" s="453">
        <v>1179909.73</v>
      </c>
      <c r="F196" s="451">
        <v>1163839.6200000001</v>
      </c>
      <c r="G196" s="459">
        <f t="shared" si="2"/>
        <v>98.638022079875569</v>
      </c>
    </row>
    <row r="197" spans="1:7" ht="114.75">
      <c r="A197" s="241" t="s">
        <v>1784</v>
      </c>
      <c r="B197" s="242" t="s">
        <v>1785</v>
      </c>
      <c r="C197" s="242"/>
      <c r="D197" s="242"/>
      <c r="E197" s="453">
        <v>1767683.53</v>
      </c>
      <c r="F197" s="451">
        <v>1393775.75</v>
      </c>
      <c r="G197" s="459">
        <f t="shared" si="2"/>
        <v>78.847583650903843</v>
      </c>
    </row>
    <row r="198" spans="1:7" ht="25.5">
      <c r="A198" s="241" t="s">
        <v>1319</v>
      </c>
      <c r="B198" s="242" t="s">
        <v>1785</v>
      </c>
      <c r="C198" s="242" t="s">
        <v>1320</v>
      </c>
      <c r="D198" s="242"/>
      <c r="E198" s="453">
        <v>1767683.53</v>
      </c>
      <c r="F198" s="451">
        <v>1393775.75</v>
      </c>
      <c r="G198" s="459">
        <f t="shared" si="2"/>
        <v>78.847583650903843</v>
      </c>
    </row>
    <row r="199" spans="1:7" ht="25.5">
      <c r="A199" s="241" t="s">
        <v>1196</v>
      </c>
      <c r="B199" s="242" t="s">
        <v>1785</v>
      </c>
      <c r="C199" s="242" t="s">
        <v>1197</v>
      </c>
      <c r="D199" s="242"/>
      <c r="E199" s="453">
        <v>1767683.53</v>
      </c>
      <c r="F199" s="451">
        <v>1393775.75</v>
      </c>
      <c r="G199" s="459">
        <f t="shared" ref="G199:G262" si="3">F199/E199*100</f>
        <v>78.847583650903843</v>
      </c>
    </row>
    <row r="200" spans="1:7">
      <c r="A200" s="241" t="s">
        <v>140</v>
      </c>
      <c r="B200" s="242" t="s">
        <v>1785</v>
      </c>
      <c r="C200" s="242" t="s">
        <v>1197</v>
      </c>
      <c r="D200" s="242" t="s">
        <v>1142</v>
      </c>
      <c r="E200" s="453">
        <v>1767683.53</v>
      </c>
      <c r="F200" s="451">
        <v>1393775.75</v>
      </c>
      <c r="G200" s="459">
        <f t="shared" si="3"/>
        <v>78.847583650903843</v>
      </c>
    </row>
    <row r="201" spans="1:7">
      <c r="A201" s="241" t="s">
        <v>153</v>
      </c>
      <c r="B201" s="242" t="s">
        <v>1785</v>
      </c>
      <c r="C201" s="242" t="s">
        <v>1197</v>
      </c>
      <c r="D201" s="242" t="s">
        <v>395</v>
      </c>
      <c r="E201" s="453">
        <v>1767683.53</v>
      </c>
      <c r="F201" s="451">
        <v>1393775.75</v>
      </c>
      <c r="G201" s="459">
        <f t="shared" si="3"/>
        <v>78.847583650903843</v>
      </c>
    </row>
    <row r="202" spans="1:7" ht="114.75">
      <c r="A202" s="241" t="s">
        <v>1847</v>
      </c>
      <c r="B202" s="242" t="s">
        <v>1848</v>
      </c>
      <c r="C202" s="242"/>
      <c r="D202" s="242"/>
      <c r="E202" s="453">
        <v>37200</v>
      </c>
      <c r="F202" s="451">
        <v>37200</v>
      </c>
      <c r="G202" s="459">
        <f t="shared" si="3"/>
        <v>100</v>
      </c>
    </row>
    <row r="203" spans="1:7" ht="25.5">
      <c r="A203" s="241" t="s">
        <v>1327</v>
      </c>
      <c r="B203" s="242" t="s">
        <v>1848</v>
      </c>
      <c r="C203" s="242" t="s">
        <v>1328</v>
      </c>
      <c r="D203" s="242"/>
      <c r="E203" s="453">
        <v>37200</v>
      </c>
      <c r="F203" s="451">
        <v>37200</v>
      </c>
      <c r="G203" s="459">
        <f t="shared" si="3"/>
        <v>100</v>
      </c>
    </row>
    <row r="204" spans="1:7">
      <c r="A204" s="241" t="s">
        <v>1198</v>
      </c>
      <c r="B204" s="242" t="s">
        <v>1848</v>
      </c>
      <c r="C204" s="242" t="s">
        <v>1199</v>
      </c>
      <c r="D204" s="242"/>
      <c r="E204" s="453">
        <v>37200</v>
      </c>
      <c r="F204" s="451">
        <v>37200</v>
      </c>
      <c r="G204" s="459">
        <f t="shared" si="3"/>
        <v>100</v>
      </c>
    </row>
    <row r="205" spans="1:7">
      <c r="A205" s="241" t="s">
        <v>140</v>
      </c>
      <c r="B205" s="242" t="s">
        <v>1848</v>
      </c>
      <c r="C205" s="242" t="s">
        <v>1199</v>
      </c>
      <c r="D205" s="242" t="s">
        <v>1142</v>
      </c>
      <c r="E205" s="453">
        <v>37200</v>
      </c>
      <c r="F205" s="451">
        <v>37200</v>
      </c>
      <c r="G205" s="459">
        <f t="shared" si="3"/>
        <v>100</v>
      </c>
    </row>
    <row r="206" spans="1:7">
      <c r="A206" s="241" t="s">
        <v>1077</v>
      </c>
      <c r="B206" s="242" t="s">
        <v>1848</v>
      </c>
      <c r="C206" s="242" t="s">
        <v>1199</v>
      </c>
      <c r="D206" s="242" t="s">
        <v>1078</v>
      </c>
      <c r="E206" s="453">
        <v>37200</v>
      </c>
      <c r="F206" s="451">
        <v>37200</v>
      </c>
      <c r="G206" s="459">
        <f t="shared" si="3"/>
        <v>100</v>
      </c>
    </row>
    <row r="207" spans="1:7" ht="114.75">
      <c r="A207" s="241" t="s">
        <v>1849</v>
      </c>
      <c r="B207" s="242" t="s">
        <v>1850</v>
      </c>
      <c r="C207" s="242"/>
      <c r="D207" s="242"/>
      <c r="E207" s="453">
        <v>60750</v>
      </c>
      <c r="F207" s="451">
        <v>60750</v>
      </c>
      <c r="G207" s="459">
        <f t="shared" si="3"/>
        <v>100</v>
      </c>
    </row>
    <row r="208" spans="1:7" ht="25.5">
      <c r="A208" s="241" t="s">
        <v>1327</v>
      </c>
      <c r="B208" s="242" t="s">
        <v>1850</v>
      </c>
      <c r="C208" s="242" t="s">
        <v>1328</v>
      </c>
      <c r="D208" s="242"/>
      <c r="E208" s="453">
        <v>60750</v>
      </c>
      <c r="F208" s="451">
        <v>60750</v>
      </c>
      <c r="G208" s="459">
        <f t="shared" si="3"/>
        <v>100</v>
      </c>
    </row>
    <row r="209" spans="1:7">
      <c r="A209" s="241" t="s">
        <v>1198</v>
      </c>
      <c r="B209" s="242" t="s">
        <v>1850</v>
      </c>
      <c r="C209" s="242" t="s">
        <v>1199</v>
      </c>
      <c r="D209" s="242"/>
      <c r="E209" s="453">
        <v>60750</v>
      </c>
      <c r="F209" s="451">
        <v>60750</v>
      </c>
      <c r="G209" s="459">
        <f t="shared" si="3"/>
        <v>100</v>
      </c>
    </row>
    <row r="210" spans="1:7">
      <c r="A210" s="241" t="s">
        <v>140</v>
      </c>
      <c r="B210" s="242" t="s">
        <v>1850</v>
      </c>
      <c r="C210" s="242" t="s">
        <v>1199</v>
      </c>
      <c r="D210" s="242" t="s">
        <v>1142</v>
      </c>
      <c r="E210" s="453">
        <v>60750</v>
      </c>
      <c r="F210" s="451">
        <v>60750</v>
      </c>
      <c r="G210" s="459">
        <f t="shared" si="3"/>
        <v>100</v>
      </c>
    </row>
    <row r="211" spans="1:7">
      <c r="A211" s="241" t="s">
        <v>1075</v>
      </c>
      <c r="B211" s="242" t="s">
        <v>1850</v>
      </c>
      <c r="C211" s="242" t="s">
        <v>1199</v>
      </c>
      <c r="D211" s="242" t="s">
        <v>365</v>
      </c>
      <c r="E211" s="453">
        <v>60750</v>
      </c>
      <c r="F211" s="451">
        <v>60750</v>
      </c>
      <c r="G211" s="459">
        <f t="shared" si="3"/>
        <v>100</v>
      </c>
    </row>
    <row r="212" spans="1:7" ht="89.25">
      <c r="A212" s="241" t="s">
        <v>575</v>
      </c>
      <c r="B212" s="242" t="s">
        <v>746</v>
      </c>
      <c r="C212" s="242"/>
      <c r="D212" s="242"/>
      <c r="E212" s="453">
        <v>38380326.82</v>
      </c>
      <c r="F212" s="451">
        <v>37827973.770000003</v>
      </c>
      <c r="G212" s="459">
        <f t="shared" si="3"/>
        <v>98.560843286743022</v>
      </c>
    </row>
    <row r="213" spans="1:7" ht="25.5">
      <c r="A213" s="241" t="s">
        <v>1319</v>
      </c>
      <c r="B213" s="242" t="s">
        <v>746</v>
      </c>
      <c r="C213" s="242" t="s">
        <v>1320</v>
      </c>
      <c r="D213" s="242"/>
      <c r="E213" s="453">
        <v>38380326.82</v>
      </c>
      <c r="F213" s="451">
        <v>37827973.770000003</v>
      </c>
      <c r="G213" s="459">
        <f t="shared" si="3"/>
        <v>98.560843286743022</v>
      </c>
    </row>
    <row r="214" spans="1:7" ht="25.5">
      <c r="A214" s="241" t="s">
        <v>1196</v>
      </c>
      <c r="B214" s="242" t="s">
        <v>746</v>
      </c>
      <c r="C214" s="242" t="s">
        <v>1197</v>
      </c>
      <c r="D214" s="242"/>
      <c r="E214" s="453">
        <v>38380326.82</v>
      </c>
      <c r="F214" s="451">
        <v>37827973.770000003</v>
      </c>
      <c r="G214" s="459">
        <f t="shared" si="3"/>
        <v>98.560843286743022</v>
      </c>
    </row>
    <row r="215" spans="1:7">
      <c r="A215" s="241" t="s">
        <v>140</v>
      </c>
      <c r="B215" s="242" t="s">
        <v>746</v>
      </c>
      <c r="C215" s="242" t="s">
        <v>1197</v>
      </c>
      <c r="D215" s="242" t="s">
        <v>1142</v>
      </c>
      <c r="E215" s="453">
        <v>38380326.82</v>
      </c>
      <c r="F215" s="451">
        <v>37827973.770000003</v>
      </c>
      <c r="G215" s="459">
        <f t="shared" si="3"/>
        <v>98.560843286743022</v>
      </c>
    </row>
    <row r="216" spans="1:7">
      <c r="A216" s="241" t="s">
        <v>152</v>
      </c>
      <c r="B216" s="242" t="s">
        <v>746</v>
      </c>
      <c r="C216" s="242" t="s">
        <v>1197</v>
      </c>
      <c r="D216" s="242" t="s">
        <v>408</v>
      </c>
      <c r="E216" s="453">
        <v>38380326.82</v>
      </c>
      <c r="F216" s="451">
        <v>37827973.770000003</v>
      </c>
      <c r="G216" s="459">
        <f t="shared" si="3"/>
        <v>98.560843286743022</v>
      </c>
    </row>
    <row r="217" spans="1:7" ht="102">
      <c r="A217" s="241" t="s">
        <v>582</v>
      </c>
      <c r="B217" s="242" t="s">
        <v>758</v>
      </c>
      <c r="C217" s="242"/>
      <c r="D217" s="242"/>
      <c r="E217" s="453">
        <v>5793000</v>
      </c>
      <c r="F217" s="451">
        <v>5792999.96</v>
      </c>
      <c r="G217" s="459">
        <f t="shared" si="3"/>
        <v>99.99999930951148</v>
      </c>
    </row>
    <row r="218" spans="1:7" ht="25.5">
      <c r="A218" s="241" t="s">
        <v>1319</v>
      </c>
      <c r="B218" s="242" t="s">
        <v>758</v>
      </c>
      <c r="C218" s="242" t="s">
        <v>1320</v>
      </c>
      <c r="D218" s="242"/>
      <c r="E218" s="453">
        <v>5793000</v>
      </c>
      <c r="F218" s="451">
        <v>5792999.96</v>
      </c>
      <c r="G218" s="459">
        <f t="shared" si="3"/>
        <v>99.99999930951148</v>
      </c>
    </row>
    <row r="219" spans="1:7" ht="25.5">
      <c r="A219" s="241" t="s">
        <v>1196</v>
      </c>
      <c r="B219" s="242" t="s">
        <v>758</v>
      </c>
      <c r="C219" s="242" t="s">
        <v>1197</v>
      </c>
      <c r="D219" s="242"/>
      <c r="E219" s="453">
        <v>5793000</v>
      </c>
      <c r="F219" s="451">
        <v>5792999.96</v>
      </c>
      <c r="G219" s="459">
        <f t="shared" si="3"/>
        <v>99.99999930951148</v>
      </c>
    </row>
    <row r="220" spans="1:7">
      <c r="A220" s="241" t="s">
        <v>140</v>
      </c>
      <c r="B220" s="242" t="s">
        <v>758</v>
      </c>
      <c r="C220" s="242" t="s">
        <v>1197</v>
      </c>
      <c r="D220" s="242" t="s">
        <v>1142</v>
      </c>
      <c r="E220" s="453">
        <v>5793000</v>
      </c>
      <c r="F220" s="451">
        <v>5792999.96</v>
      </c>
      <c r="G220" s="459">
        <f t="shared" si="3"/>
        <v>99.99999930951148</v>
      </c>
    </row>
    <row r="221" spans="1:7">
      <c r="A221" s="241" t="s">
        <v>153</v>
      </c>
      <c r="B221" s="242" t="s">
        <v>758</v>
      </c>
      <c r="C221" s="242" t="s">
        <v>1197</v>
      </c>
      <c r="D221" s="242" t="s">
        <v>395</v>
      </c>
      <c r="E221" s="453">
        <v>5793000</v>
      </c>
      <c r="F221" s="451">
        <v>5792999.96</v>
      </c>
      <c r="G221" s="459">
        <f t="shared" si="3"/>
        <v>99.99999930951148</v>
      </c>
    </row>
    <row r="222" spans="1:7" ht="63.75">
      <c r="A222" s="241" t="s">
        <v>2086</v>
      </c>
      <c r="B222" s="242" t="s">
        <v>2087</v>
      </c>
      <c r="C222" s="242"/>
      <c r="D222" s="242"/>
      <c r="E222" s="453">
        <v>9560246.2799999993</v>
      </c>
      <c r="F222" s="451">
        <v>9556641.2799999993</v>
      </c>
      <c r="G222" s="459">
        <f t="shared" si="3"/>
        <v>99.962291766399986</v>
      </c>
    </row>
    <row r="223" spans="1:7" ht="25.5">
      <c r="A223" s="241" t="s">
        <v>1319</v>
      </c>
      <c r="B223" s="242" t="s">
        <v>2087</v>
      </c>
      <c r="C223" s="242" t="s">
        <v>1320</v>
      </c>
      <c r="D223" s="242"/>
      <c r="E223" s="453">
        <v>9560246.2799999993</v>
      </c>
      <c r="F223" s="451">
        <v>9556641.2799999993</v>
      </c>
      <c r="G223" s="459">
        <f t="shared" si="3"/>
        <v>99.962291766399986</v>
      </c>
    </row>
    <row r="224" spans="1:7" ht="25.5">
      <c r="A224" s="241" t="s">
        <v>1196</v>
      </c>
      <c r="B224" s="242" t="s">
        <v>2087</v>
      </c>
      <c r="C224" s="242" t="s">
        <v>1197</v>
      </c>
      <c r="D224" s="242"/>
      <c r="E224" s="453">
        <v>9560246.2799999993</v>
      </c>
      <c r="F224" s="451">
        <v>9556641.2799999993</v>
      </c>
      <c r="G224" s="459">
        <f t="shared" si="3"/>
        <v>99.962291766399986</v>
      </c>
    </row>
    <row r="225" spans="1:7">
      <c r="A225" s="241" t="s">
        <v>140</v>
      </c>
      <c r="B225" s="242" t="s">
        <v>2087</v>
      </c>
      <c r="C225" s="242" t="s">
        <v>1197</v>
      </c>
      <c r="D225" s="242" t="s">
        <v>1142</v>
      </c>
      <c r="E225" s="453">
        <v>9560246.2799999993</v>
      </c>
      <c r="F225" s="451">
        <v>9556641.2799999993</v>
      </c>
      <c r="G225" s="459">
        <f t="shared" si="3"/>
        <v>99.962291766399986</v>
      </c>
    </row>
    <row r="226" spans="1:7">
      <c r="A226" s="241" t="s">
        <v>152</v>
      </c>
      <c r="B226" s="242" t="s">
        <v>2087</v>
      </c>
      <c r="C226" s="242" t="s">
        <v>1197</v>
      </c>
      <c r="D226" s="242" t="s">
        <v>408</v>
      </c>
      <c r="E226" s="453">
        <v>5989985.7300000004</v>
      </c>
      <c r="F226" s="451">
        <v>5989985.7300000004</v>
      </c>
      <c r="G226" s="459">
        <f t="shared" si="3"/>
        <v>100</v>
      </c>
    </row>
    <row r="227" spans="1:7">
      <c r="A227" s="241" t="s">
        <v>153</v>
      </c>
      <c r="B227" s="242" t="s">
        <v>2087</v>
      </c>
      <c r="C227" s="242" t="s">
        <v>1197</v>
      </c>
      <c r="D227" s="242" t="s">
        <v>395</v>
      </c>
      <c r="E227" s="453">
        <v>3570260.55</v>
      </c>
      <c r="F227" s="451">
        <v>3566655.55</v>
      </c>
      <c r="G227" s="459">
        <f t="shared" si="3"/>
        <v>99.899026977176774</v>
      </c>
    </row>
    <row r="228" spans="1:7" ht="89.25">
      <c r="A228" s="241" t="s">
        <v>962</v>
      </c>
      <c r="B228" s="242" t="s">
        <v>963</v>
      </c>
      <c r="C228" s="242"/>
      <c r="D228" s="242"/>
      <c r="E228" s="453">
        <v>11530899.32</v>
      </c>
      <c r="F228" s="451">
        <v>10481475.15</v>
      </c>
      <c r="G228" s="459">
        <f t="shared" si="3"/>
        <v>90.899025818569029</v>
      </c>
    </row>
    <row r="229" spans="1:7" ht="25.5">
      <c r="A229" s="241" t="s">
        <v>1319</v>
      </c>
      <c r="B229" s="242" t="s">
        <v>963</v>
      </c>
      <c r="C229" s="242" t="s">
        <v>1320</v>
      </c>
      <c r="D229" s="242"/>
      <c r="E229" s="453">
        <v>11530899.32</v>
      </c>
      <c r="F229" s="451">
        <v>10481475.15</v>
      </c>
      <c r="G229" s="459">
        <f t="shared" si="3"/>
        <v>90.899025818569029</v>
      </c>
    </row>
    <row r="230" spans="1:7" ht="25.5">
      <c r="A230" s="241" t="s">
        <v>1196</v>
      </c>
      <c r="B230" s="242" t="s">
        <v>963</v>
      </c>
      <c r="C230" s="242" t="s">
        <v>1197</v>
      </c>
      <c r="D230" s="242"/>
      <c r="E230" s="453">
        <v>11530899.32</v>
      </c>
      <c r="F230" s="451">
        <v>10481475.15</v>
      </c>
      <c r="G230" s="459">
        <f t="shared" si="3"/>
        <v>90.899025818569029</v>
      </c>
    </row>
    <row r="231" spans="1:7">
      <c r="A231" s="241" t="s">
        <v>140</v>
      </c>
      <c r="B231" s="242" t="s">
        <v>963</v>
      </c>
      <c r="C231" s="242" t="s">
        <v>1197</v>
      </c>
      <c r="D231" s="242" t="s">
        <v>1142</v>
      </c>
      <c r="E231" s="453">
        <v>11530899.32</v>
      </c>
      <c r="F231" s="451">
        <v>10481475.15</v>
      </c>
      <c r="G231" s="459">
        <f t="shared" si="3"/>
        <v>90.899025818569029</v>
      </c>
    </row>
    <row r="232" spans="1:7">
      <c r="A232" s="241" t="s">
        <v>152</v>
      </c>
      <c r="B232" s="242" t="s">
        <v>963</v>
      </c>
      <c r="C232" s="242" t="s">
        <v>1197</v>
      </c>
      <c r="D232" s="242" t="s">
        <v>408</v>
      </c>
      <c r="E232" s="453">
        <v>11530899.32</v>
      </c>
      <c r="F232" s="451">
        <v>10481475.15</v>
      </c>
      <c r="G232" s="459">
        <f t="shared" si="3"/>
        <v>90.899025818569029</v>
      </c>
    </row>
    <row r="233" spans="1:7" ht="102">
      <c r="A233" s="241" t="s">
        <v>964</v>
      </c>
      <c r="B233" s="242" t="s">
        <v>965</v>
      </c>
      <c r="C233" s="242"/>
      <c r="D233" s="242"/>
      <c r="E233" s="453">
        <v>11277696.140000001</v>
      </c>
      <c r="F233" s="451">
        <v>10222461.76</v>
      </c>
      <c r="G233" s="459">
        <f t="shared" si="3"/>
        <v>90.643174218382512</v>
      </c>
    </row>
    <row r="234" spans="1:7" ht="25.5">
      <c r="A234" s="241" t="s">
        <v>1319</v>
      </c>
      <c r="B234" s="242" t="s">
        <v>965</v>
      </c>
      <c r="C234" s="242" t="s">
        <v>1320</v>
      </c>
      <c r="D234" s="242"/>
      <c r="E234" s="453">
        <v>11277696.140000001</v>
      </c>
      <c r="F234" s="451">
        <v>10222461.76</v>
      </c>
      <c r="G234" s="459">
        <f t="shared" si="3"/>
        <v>90.643174218382512</v>
      </c>
    </row>
    <row r="235" spans="1:7" ht="25.5">
      <c r="A235" s="241" t="s">
        <v>1196</v>
      </c>
      <c r="B235" s="242" t="s">
        <v>965</v>
      </c>
      <c r="C235" s="242" t="s">
        <v>1197</v>
      </c>
      <c r="D235" s="242"/>
      <c r="E235" s="453">
        <v>11277696.140000001</v>
      </c>
      <c r="F235" s="451">
        <v>10222461.76</v>
      </c>
      <c r="G235" s="459">
        <f t="shared" si="3"/>
        <v>90.643174218382512</v>
      </c>
    </row>
    <row r="236" spans="1:7">
      <c r="A236" s="241" t="s">
        <v>140</v>
      </c>
      <c r="B236" s="242" t="s">
        <v>965</v>
      </c>
      <c r="C236" s="242" t="s">
        <v>1197</v>
      </c>
      <c r="D236" s="242" t="s">
        <v>1142</v>
      </c>
      <c r="E236" s="453">
        <v>11277696.140000001</v>
      </c>
      <c r="F236" s="451">
        <v>10222461.76</v>
      </c>
      <c r="G236" s="459">
        <f t="shared" si="3"/>
        <v>90.643174218382512</v>
      </c>
    </row>
    <row r="237" spans="1:7">
      <c r="A237" s="241" t="s">
        <v>153</v>
      </c>
      <c r="B237" s="242" t="s">
        <v>965</v>
      </c>
      <c r="C237" s="242" t="s">
        <v>1197</v>
      </c>
      <c r="D237" s="242" t="s">
        <v>395</v>
      </c>
      <c r="E237" s="453">
        <v>11277696.140000001</v>
      </c>
      <c r="F237" s="451">
        <v>10222461.76</v>
      </c>
      <c r="G237" s="459">
        <f t="shared" si="3"/>
        <v>90.643174218382512</v>
      </c>
    </row>
    <row r="238" spans="1:7" ht="102">
      <c r="A238" s="241" t="s">
        <v>966</v>
      </c>
      <c r="B238" s="242" t="s">
        <v>967</v>
      </c>
      <c r="C238" s="242"/>
      <c r="D238" s="242"/>
      <c r="E238" s="453">
        <v>391648.01</v>
      </c>
      <c r="F238" s="451">
        <v>391648.01</v>
      </c>
      <c r="G238" s="459">
        <f t="shared" si="3"/>
        <v>100</v>
      </c>
    </row>
    <row r="239" spans="1:7" ht="25.5">
      <c r="A239" s="241" t="s">
        <v>1327</v>
      </c>
      <c r="B239" s="242" t="s">
        <v>967</v>
      </c>
      <c r="C239" s="242" t="s">
        <v>1328</v>
      </c>
      <c r="D239" s="242"/>
      <c r="E239" s="453">
        <v>391648.01</v>
      </c>
      <c r="F239" s="451">
        <v>391648.01</v>
      </c>
      <c r="G239" s="459">
        <f t="shared" si="3"/>
        <v>100</v>
      </c>
    </row>
    <row r="240" spans="1:7">
      <c r="A240" s="241" t="s">
        <v>1198</v>
      </c>
      <c r="B240" s="242" t="s">
        <v>967</v>
      </c>
      <c r="C240" s="242" t="s">
        <v>1199</v>
      </c>
      <c r="D240" s="242"/>
      <c r="E240" s="453">
        <v>391648.01</v>
      </c>
      <c r="F240" s="451">
        <v>391648.01</v>
      </c>
      <c r="G240" s="459">
        <f t="shared" si="3"/>
        <v>100</v>
      </c>
    </row>
    <row r="241" spans="1:7">
      <c r="A241" s="241" t="s">
        <v>140</v>
      </c>
      <c r="B241" s="242" t="s">
        <v>967</v>
      </c>
      <c r="C241" s="242" t="s">
        <v>1199</v>
      </c>
      <c r="D241" s="242" t="s">
        <v>1142</v>
      </c>
      <c r="E241" s="453">
        <v>345888.01</v>
      </c>
      <c r="F241" s="451">
        <v>345888.01</v>
      </c>
      <c r="G241" s="459">
        <f t="shared" si="3"/>
        <v>100</v>
      </c>
    </row>
    <row r="242" spans="1:7">
      <c r="A242" s="241" t="s">
        <v>1077</v>
      </c>
      <c r="B242" s="242" t="s">
        <v>967</v>
      </c>
      <c r="C242" s="242" t="s">
        <v>1199</v>
      </c>
      <c r="D242" s="242" t="s">
        <v>1078</v>
      </c>
      <c r="E242" s="453">
        <v>345888.01</v>
      </c>
      <c r="F242" s="451">
        <v>345888.01</v>
      </c>
      <c r="G242" s="459">
        <f t="shared" si="3"/>
        <v>100</v>
      </c>
    </row>
    <row r="243" spans="1:7">
      <c r="A243" s="241" t="s">
        <v>248</v>
      </c>
      <c r="B243" s="242" t="s">
        <v>967</v>
      </c>
      <c r="C243" s="242" t="s">
        <v>1199</v>
      </c>
      <c r="D243" s="242" t="s">
        <v>1144</v>
      </c>
      <c r="E243" s="453">
        <v>45760</v>
      </c>
      <c r="F243" s="451">
        <v>45760</v>
      </c>
      <c r="G243" s="459">
        <f t="shared" si="3"/>
        <v>100</v>
      </c>
    </row>
    <row r="244" spans="1:7">
      <c r="A244" s="241" t="s">
        <v>1228</v>
      </c>
      <c r="B244" s="242" t="s">
        <v>967</v>
      </c>
      <c r="C244" s="242" t="s">
        <v>1199</v>
      </c>
      <c r="D244" s="242" t="s">
        <v>1229</v>
      </c>
      <c r="E244" s="453">
        <v>45760</v>
      </c>
      <c r="F244" s="451">
        <v>45760</v>
      </c>
      <c r="G244" s="459">
        <f t="shared" si="3"/>
        <v>100</v>
      </c>
    </row>
    <row r="245" spans="1:7" ht="102">
      <c r="A245" s="241" t="s">
        <v>1151</v>
      </c>
      <c r="B245" s="242" t="s">
        <v>1152</v>
      </c>
      <c r="C245" s="242"/>
      <c r="D245" s="242"/>
      <c r="E245" s="453">
        <v>169000</v>
      </c>
      <c r="F245" s="451">
        <v>169000</v>
      </c>
      <c r="G245" s="459">
        <f t="shared" si="3"/>
        <v>100</v>
      </c>
    </row>
    <row r="246" spans="1:7" ht="25.5">
      <c r="A246" s="241" t="s">
        <v>1327</v>
      </c>
      <c r="B246" s="242" t="s">
        <v>1152</v>
      </c>
      <c r="C246" s="242" t="s">
        <v>1328</v>
      </c>
      <c r="D246" s="242"/>
      <c r="E246" s="453">
        <v>169000</v>
      </c>
      <c r="F246" s="451">
        <v>169000</v>
      </c>
      <c r="G246" s="459">
        <f t="shared" si="3"/>
        <v>100</v>
      </c>
    </row>
    <row r="247" spans="1:7">
      <c r="A247" s="241" t="s">
        <v>1198</v>
      </c>
      <c r="B247" s="242" t="s">
        <v>1152</v>
      </c>
      <c r="C247" s="242" t="s">
        <v>1199</v>
      </c>
      <c r="D247" s="242"/>
      <c r="E247" s="453">
        <v>169000</v>
      </c>
      <c r="F247" s="451">
        <v>169000</v>
      </c>
      <c r="G247" s="459">
        <f t="shared" si="3"/>
        <v>100</v>
      </c>
    </row>
    <row r="248" spans="1:7">
      <c r="A248" s="241" t="s">
        <v>140</v>
      </c>
      <c r="B248" s="242" t="s">
        <v>1152</v>
      </c>
      <c r="C248" s="242" t="s">
        <v>1199</v>
      </c>
      <c r="D248" s="242" t="s">
        <v>1142</v>
      </c>
      <c r="E248" s="453">
        <v>169000</v>
      </c>
      <c r="F248" s="451">
        <v>169000</v>
      </c>
      <c r="G248" s="459">
        <f t="shared" si="3"/>
        <v>100</v>
      </c>
    </row>
    <row r="249" spans="1:7">
      <c r="A249" s="241" t="s">
        <v>1075</v>
      </c>
      <c r="B249" s="242" t="s">
        <v>1152</v>
      </c>
      <c r="C249" s="242" t="s">
        <v>1199</v>
      </c>
      <c r="D249" s="242" t="s">
        <v>365</v>
      </c>
      <c r="E249" s="453">
        <v>169000</v>
      </c>
      <c r="F249" s="451">
        <v>169000</v>
      </c>
      <c r="G249" s="459">
        <f t="shared" si="3"/>
        <v>100</v>
      </c>
    </row>
    <row r="250" spans="1:7" ht="76.5">
      <c r="A250" s="241" t="s">
        <v>2094</v>
      </c>
      <c r="B250" s="242" t="s">
        <v>2095</v>
      </c>
      <c r="C250" s="242"/>
      <c r="D250" s="242"/>
      <c r="E250" s="453">
        <v>44461522.729999997</v>
      </c>
      <c r="F250" s="451">
        <v>44461522.729999997</v>
      </c>
      <c r="G250" s="459">
        <f t="shared" si="3"/>
        <v>100</v>
      </c>
    </row>
    <row r="251" spans="1:7" ht="63.75">
      <c r="A251" s="241" t="s">
        <v>1318</v>
      </c>
      <c r="B251" s="242" t="s">
        <v>2095</v>
      </c>
      <c r="C251" s="242" t="s">
        <v>273</v>
      </c>
      <c r="D251" s="242"/>
      <c r="E251" s="453">
        <v>44461522.729999997</v>
      </c>
      <c r="F251" s="451">
        <v>44461522.729999997</v>
      </c>
      <c r="G251" s="459">
        <f t="shared" si="3"/>
        <v>100</v>
      </c>
    </row>
    <row r="252" spans="1:7">
      <c r="A252" s="241" t="s">
        <v>1190</v>
      </c>
      <c r="B252" s="242" t="s">
        <v>2095</v>
      </c>
      <c r="C252" s="242" t="s">
        <v>133</v>
      </c>
      <c r="D252" s="242"/>
      <c r="E252" s="453">
        <v>44461522.729999997</v>
      </c>
      <c r="F252" s="451">
        <v>44461522.729999997</v>
      </c>
      <c r="G252" s="459">
        <f t="shared" si="3"/>
        <v>100</v>
      </c>
    </row>
    <row r="253" spans="1:7">
      <c r="A253" s="241" t="s">
        <v>140</v>
      </c>
      <c r="B253" s="242" t="s">
        <v>2095</v>
      </c>
      <c r="C253" s="242" t="s">
        <v>133</v>
      </c>
      <c r="D253" s="242" t="s">
        <v>1142</v>
      </c>
      <c r="E253" s="453">
        <v>44461522.729999997</v>
      </c>
      <c r="F253" s="451">
        <v>44461522.729999997</v>
      </c>
      <c r="G253" s="459">
        <f t="shared" si="3"/>
        <v>100</v>
      </c>
    </row>
    <row r="254" spans="1:7">
      <c r="A254" s="241" t="s">
        <v>153</v>
      </c>
      <c r="B254" s="242" t="s">
        <v>2095</v>
      </c>
      <c r="C254" s="242" t="s">
        <v>133</v>
      </c>
      <c r="D254" s="242" t="s">
        <v>395</v>
      </c>
      <c r="E254" s="453">
        <v>44461522.729999997</v>
      </c>
      <c r="F254" s="451">
        <v>44461522.729999997</v>
      </c>
      <c r="G254" s="459">
        <f t="shared" si="3"/>
        <v>100</v>
      </c>
    </row>
    <row r="255" spans="1:7" ht="229.5">
      <c r="A255" s="241" t="s">
        <v>1354</v>
      </c>
      <c r="B255" s="242" t="s">
        <v>741</v>
      </c>
      <c r="C255" s="242"/>
      <c r="D255" s="242"/>
      <c r="E255" s="453">
        <v>111486870</v>
      </c>
      <c r="F255" s="451">
        <v>110811366.04000001</v>
      </c>
      <c r="G255" s="459">
        <f t="shared" si="3"/>
        <v>99.394095502008454</v>
      </c>
    </row>
    <row r="256" spans="1:7" ht="63.75">
      <c r="A256" s="241" t="s">
        <v>1318</v>
      </c>
      <c r="B256" s="242" t="s">
        <v>741</v>
      </c>
      <c r="C256" s="242" t="s">
        <v>273</v>
      </c>
      <c r="D256" s="242"/>
      <c r="E256" s="453">
        <v>104911401.73</v>
      </c>
      <c r="F256" s="451">
        <v>104269871.77</v>
      </c>
      <c r="G256" s="459">
        <f t="shared" si="3"/>
        <v>99.388503108888912</v>
      </c>
    </row>
    <row r="257" spans="1:7">
      <c r="A257" s="241" t="s">
        <v>1190</v>
      </c>
      <c r="B257" s="242" t="s">
        <v>741</v>
      </c>
      <c r="C257" s="242" t="s">
        <v>133</v>
      </c>
      <c r="D257" s="242"/>
      <c r="E257" s="453">
        <v>104911401.73</v>
      </c>
      <c r="F257" s="451">
        <v>104269871.77</v>
      </c>
      <c r="G257" s="459">
        <f t="shared" si="3"/>
        <v>99.388503108888912</v>
      </c>
    </row>
    <row r="258" spans="1:7">
      <c r="A258" s="241" t="s">
        <v>140</v>
      </c>
      <c r="B258" s="242" t="s">
        <v>741</v>
      </c>
      <c r="C258" s="242" t="s">
        <v>133</v>
      </c>
      <c r="D258" s="242" t="s">
        <v>1142</v>
      </c>
      <c r="E258" s="453">
        <v>104911401.73</v>
      </c>
      <c r="F258" s="451">
        <v>104269871.77</v>
      </c>
      <c r="G258" s="459">
        <f t="shared" si="3"/>
        <v>99.388503108888912</v>
      </c>
    </row>
    <row r="259" spans="1:7">
      <c r="A259" s="241" t="s">
        <v>152</v>
      </c>
      <c r="B259" s="242" t="s">
        <v>741</v>
      </c>
      <c r="C259" s="242" t="s">
        <v>133</v>
      </c>
      <c r="D259" s="242" t="s">
        <v>408</v>
      </c>
      <c r="E259" s="453">
        <v>104911401.72999999</v>
      </c>
      <c r="F259" s="451">
        <v>104269871.77000001</v>
      </c>
      <c r="G259" s="459">
        <f t="shared" si="3"/>
        <v>99.388503108888955</v>
      </c>
    </row>
    <row r="260" spans="1:7" ht="25.5">
      <c r="A260" s="241" t="s">
        <v>1319</v>
      </c>
      <c r="B260" s="242" t="s">
        <v>741</v>
      </c>
      <c r="C260" s="242" t="s">
        <v>1320</v>
      </c>
      <c r="D260" s="242"/>
      <c r="E260" s="453">
        <v>6575468.2699999996</v>
      </c>
      <c r="F260" s="451">
        <v>6541494.2699999996</v>
      </c>
      <c r="G260" s="459">
        <f t="shared" si="3"/>
        <v>99.483321968794172</v>
      </c>
    </row>
    <row r="261" spans="1:7" ht="25.5">
      <c r="A261" s="241" t="s">
        <v>1196</v>
      </c>
      <c r="B261" s="242" t="s">
        <v>741</v>
      </c>
      <c r="C261" s="242" t="s">
        <v>1197</v>
      </c>
      <c r="D261" s="242"/>
      <c r="E261" s="453">
        <v>6575468.2699999996</v>
      </c>
      <c r="F261" s="451">
        <v>6541494.2699999996</v>
      </c>
      <c r="G261" s="459">
        <f t="shared" si="3"/>
        <v>99.483321968794172</v>
      </c>
    </row>
    <row r="262" spans="1:7">
      <c r="A262" s="241" t="s">
        <v>140</v>
      </c>
      <c r="B262" s="242" t="s">
        <v>741</v>
      </c>
      <c r="C262" s="242" t="s">
        <v>1197</v>
      </c>
      <c r="D262" s="242" t="s">
        <v>1142</v>
      </c>
      <c r="E262" s="453">
        <v>6575468.2699999996</v>
      </c>
      <c r="F262" s="451">
        <v>6541494.2699999996</v>
      </c>
      <c r="G262" s="459">
        <f t="shared" si="3"/>
        <v>99.483321968794172</v>
      </c>
    </row>
    <row r="263" spans="1:7">
      <c r="A263" s="241" t="s">
        <v>152</v>
      </c>
      <c r="B263" s="242" t="s">
        <v>741</v>
      </c>
      <c r="C263" s="242" t="s">
        <v>1197</v>
      </c>
      <c r="D263" s="242" t="s">
        <v>408</v>
      </c>
      <c r="E263" s="453">
        <v>6575468.2699999996</v>
      </c>
      <c r="F263" s="451">
        <v>6541494.2699999996</v>
      </c>
      <c r="G263" s="459">
        <f t="shared" ref="G263:G326" si="4">F263/E263*100</f>
        <v>99.483321968794172</v>
      </c>
    </row>
    <row r="264" spans="1:7" ht="242.25">
      <c r="A264" s="241" t="s">
        <v>1356</v>
      </c>
      <c r="B264" s="242" t="s">
        <v>749</v>
      </c>
      <c r="C264" s="242"/>
      <c r="D264" s="242"/>
      <c r="E264" s="453">
        <v>106180918</v>
      </c>
      <c r="F264" s="451">
        <v>105355098.91</v>
      </c>
      <c r="G264" s="459">
        <f t="shared" si="4"/>
        <v>99.222252825126262</v>
      </c>
    </row>
    <row r="265" spans="1:7" ht="63.75">
      <c r="A265" s="241" t="s">
        <v>1318</v>
      </c>
      <c r="B265" s="242" t="s">
        <v>749</v>
      </c>
      <c r="C265" s="242" t="s">
        <v>273</v>
      </c>
      <c r="D265" s="242"/>
      <c r="E265" s="453">
        <v>93632199.780000001</v>
      </c>
      <c r="F265" s="451">
        <v>92947170.799999997</v>
      </c>
      <c r="G265" s="459">
        <f t="shared" si="4"/>
        <v>99.268383118617791</v>
      </c>
    </row>
    <row r="266" spans="1:7">
      <c r="A266" s="241" t="s">
        <v>1190</v>
      </c>
      <c r="B266" s="242" t="s">
        <v>749</v>
      </c>
      <c r="C266" s="242" t="s">
        <v>133</v>
      </c>
      <c r="D266" s="242"/>
      <c r="E266" s="453">
        <v>93632199.780000001</v>
      </c>
      <c r="F266" s="451">
        <v>92947170.799999997</v>
      </c>
      <c r="G266" s="459">
        <f t="shared" si="4"/>
        <v>99.268383118617791</v>
      </c>
    </row>
    <row r="267" spans="1:7">
      <c r="A267" s="241" t="s">
        <v>140</v>
      </c>
      <c r="B267" s="242" t="s">
        <v>749</v>
      </c>
      <c r="C267" s="242" t="s">
        <v>133</v>
      </c>
      <c r="D267" s="242" t="s">
        <v>1142</v>
      </c>
      <c r="E267" s="453">
        <v>93632199.780000001</v>
      </c>
      <c r="F267" s="451">
        <v>92947170.799999997</v>
      </c>
      <c r="G267" s="459">
        <f t="shared" si="4"/>
        <v>99.268383118617791</v>
      </c>
    </row>
    <row r="268" spans="1:7">
      <c r="A268" s="241" t="s">
        <v>153</v>
      </c>
      <c r="B268" s="242" t="s">
        <v>749</v>
      </c>
      <c r="C268" s="242" t="s">
        <v>133</v>
      </c>
      <c r="D268" s="242" t="s">
        <v>395</v>
      </c>
      <c r="E268" s="453">
        <v>93632199.780000016</v>
      </c>
      <c r="F268" s="451">
        <v>92947170.800000012</v>
      </c>
      <c r="G268" s="459">
        <f t="shared" si="4"/>
        <v>99.268383118617791</v>
      </c>
    </row>
    <row r="269" spans="1:7" ht="25.5">
      <c r="A269" s="241" t="s">
        <v>1319</v>
      </c>
      <c r="B269" s="242" t="s">
        <v>749</v>
      </c>
      <c r="C269" s="242" t="s">
        <v>1320</v>
      </c>
      <c r="D269" s="242"/>
      <c r="E269" s="453">
        <v>12548718.220000001</v>
      </c>
      <c r="F269" s="451">
        <v>12407928.109999999</v>
      </c>
      <c r="G269" s="459">
        <f t="shared" si="4"/>
        <v>98.878051865284448</v>
      </c>
    </row>
    <row r="270" spans="1:7" ht="25.5">
      <c r="A270" s="241" t="s">
        <v>1196</v>
      </c>
      <c r="B270" s="242" t="s">
        <v>749</v>
      </c>
      <c r="C270" s="242" t="s">
        <v>1197</v>
      </c>
      <c r="D270" s="242"/>
      <c r="E270" s="453">
        <v>12548718.220000001</v>
      </c>
      <c r="F270" s="451">
        <v>12407928.109999999</v>
      </c>
      <c r="G270" s="459">
        <f t="shared" si="4"/>
        <v>98.878051865284448</v>
      </c>
    </row>
    <row r="271" spans="1:7">
      <c r="A271" s="241" t="s">
        <v>140</v>
      </c>
      <c r="B271" s="242" t="s">
        <v>749</v>
      </c>
      <c r="C271" s="242" t="s">
        <v>1197</v>
      </c>
      <c r="D271" s="242" t="s">
        <v>1142</v>
      </c>
      <c r="E271" s="453">
        <v>12548718.220000001</v>
      </c>
      <c r="F271" s="451">
        <v>12407928.109999999</v>
      </c>
      <c r="G271" s="459">
        <f t="shared" si="4"/>
        <v>98.878051865284448</v>
      </c>
    </row>
    <row r="272" spans="1:7">
      <c r="A272" s="241" t="s">
        <v>153</v>
      </c>
      <c r="B272" s="242" t="s">
        <v>749</v>
      </c>
      <c r="C272" s="242" t="s">
        <v>1197</v>
      </c>
      <c r="D272" s="242" t="s">
        <v>395</v>
      </c>
      <c r="E272" s="453">
        <v>12548718.220000001</v>
      </c>
      <c r="F272" s="451">
        <v>12407928.109999999</v>
      </c>
      <c r="G272" s="459">
        <f t="shared" si="4"/>
        <v>98.878051865284448</v>
      </c>
    </row>
    <row r="273" spans="1:7" ht="140.25">
      <c r="A273" s="241" t="s">
        <v>1360</v>
      </c>
      <c r="B273" s="242" t="s">
        <v>785</v>
      </c>
      <c r="C273" s="242"/>
      <c r="D273" s="242"/>
      <c r="E273" s="453">
        <v>817000</v>
      </c>
      <c r="F273" s="451">
        <v>817000</v>
      </c>
      <c r="G273" s="459">
        <f t="shared" si="4"/>
        <v>100</v>
      </c>
    </row>
    <row r="274" spans="1:7" ht="25.5">
      <c r="A274" s="241" t="s">
        <v>1319</v>
      </c>
      <c r="B274" s="242" t="s">
        <v>785</v>
      </c>
      <c r="C274" s="242" t="s">
        <v>1320</v>
      </c>
      <c r="D274" s="242"/>
      <c r="E274" s="453">
        <v>817000</v>
      </c>
      <c r="F274" s="451">
        <v>817000</v>
      </c>
      <c r="G274" s="459">
        <f t="shared" si="4"/>
        <v>100</v>
      </c>
    </row>
    <row r="275" spans="1:7" ht="25.5">
      <c r="A275" s="241" t="s">
        <v>1196</v>
      </c>
      <c r="B275" s="242" t="s">
        <v>785</v>
      </c>
      <c r="C275" s="242" t="s">
        <v>1197</v>
      </c>
      <c r="D275" s="242"/>
      <c r="E275" s="453">
        <v>817000</v>
      </c>
      <c r="F275" s="451">
        <v>817000</v>
      </c>
      <c r="G275" s="459">
        <f t="shared" si="4"/>
        <v>100</v>
      </c>
    </row>
    <row r="276" spans="1:7">
      <c r="A276" s="241" t="s">
        <v>141</v>
      </c>
      <c r="B276" s="242" t="s">
        <v>785</v>
      </c>
      <c r="C276" s="242" t="s">
        <v>1197</v>
      </c>
      <c r="D276" s="242" t="s">
        <v>1143</v>
      </c>
      <c r="E276" s="453">
        <v>817000</v>
      </c>
      <c r="F276" s="451">
        <v>817000</v>
      </c>
      <c r="G276" s="459">
        <f t="shared" si="4"/>
        <v>100</v>
      </c>
    </row>
    <row r="277" spans="1:7">
      <c r="A277" s="241" t="s">
        <v>98</v>
      </c>
      <c r="B277" s="242" t="s">
        <v>785</v>
      </c>
      <c r="C277" s="242" t="s">
        <v>1197</v>
      </c>
      <c r="D277" s="242" t="s">
        <v>378</v>
      </c>
      <c r="E277" s="453">
        <v>817000</v>
      </c>
      <c r="F277" s="451">
        <v>817000</v>
      </c>
      <c r="G277" s="459">
        <f t="shared" si="4"/>
        <v>100</v>
      </c>
    </row>
    <row r="278" spans="1:7" ht="102">
      <c r="A278" s="241" t="s">
        <v>1362</v>
      </c>
      <c r="B278" s="242" t="s">
        <v>787</v>
      </c>
      <c r="C278" s="242"/>
      <c r="D278" s="242"/>
      <c r="E278" s="453">
        <v>1488880</v>
      </c>
      <c r="F278" s="451">
        <v>1488809.66</v>
      </c>
      <c r="G278" s="459">
        <f t="shared" si="4"/>
        <v>99.995275643436671</v>
      </c>
    </row>
    <row r="279" spans="1:7">
      <c r="A279" s="241" t="s">
        <v>1323</v>
      </c>
      <c r="B279" s="242" t="s">
        <v>787</v>
      </c>
      <c r="C279" s="242" t="s">
        <v>1324</v>
      </c>
      <c r="D279" s="242"/>
      <c r="E279" s="453">
        <v>1488880</v>
      </c>
      <c r="F279" s="451">
        <v>1488809.66</v>
      </c>
      <c r="G279" s="459">
        <f t="shared" si="4"/>
        <v>99.995275643436671</v>
      </c>
    </row>
    <row r="280" spans="1:7" ht="25.5">
      <c r="A280" s="241" t="s">
        <v>1200</v>
      </c>
      <c r="B280" s="242" t="s">
        <v>787</v>
      </c>
      <c r="C280" s="242" t="s">
        <v>557</v>
      </c>
      <c r="D280" s="242"/>
      <c r="E280" s="453">
        <v>1488880</v>
      </c>
      <c r="F280" s="451">
        <v>1488809.66</v>
      </c>
      <c r="G280" s="459">
        <f t="shared" si="4"/>
        <v>99.995275643436671</v>
      </c>
    </row>
    <row r="281" spans="1:7">
      <c r="A281" s="241" t="s">
        <v>141</v>
      </c>
      <c r="B281" s="242" t="s">
        <v>787</v>
      </c>
      <c r="C281" s="242" t="s">
        <v>557</v>
      </c>
      <c r="D281" s="242" t="s">
        <v>1143</v>
      </c>
      <c r="E281" s="453">
        <v>1488880</v>
      </c>
      <c r="F281" s="451">
        <v>1488809.66</v>
      </c>
      <c r="G281" s="459">
        <f t="shared" si="4"/>
        <v>99.995275643436671</v>
      </c>
    </row>
    <row r="282" spans="1:7">
      <c r="A282" s="241" t="s">
        <v>18</v>
      </c>
      <c r="B282" s="242" t="s">
        <v>787</v>
      </c>
      <c r="C282" s="242" t="s">
        <v>557</v>
      </c>
      <c r="D282" s="242" t="s">
        <v>423</v>
      </c>
      <c r="E282" s="453">
        <v>1488880</v>
      </c>
      <c r="F282" s="451">
        <v>1488809.66</v>
      </c>
      <c r="G282" s="459">
        <f t="shared" si="4"/>
        <v>99.995275643436671</v>
      </c>
    </row>
    <row r="283" spans="1:7" ht="229.5">
      <c r="A283" s="241" t="s">
        <v>1357</v>
      </c>
      <c r="B283" s="242" t="s">
        <v>747</v>
      </c>
      <c r="C283" s="242"/>
      <c r="D283" s="242"/>
      <c r="E283" s="453">
        <v>437111588.88</v>
      </c>
      <c r="F283" s="451">
        <v>434569888.50999999</v>
      </c>
      <c r="G283" s="459">
        <f t="shared" si="4"/>
        <v>99.418523682588116</v>
      </c>
    </row>
    <row r="284" spans="1:7" ht="63.75">
      <c r="A284" s="241" t="s">
        <v>1318</v>
      </c>
      <c r="B284" s="242" t="s">
        <v>747</v>
      </c>
      <c r="C284" s="242" t="s">
        <v>273</v>
      </c>
      <c r="D284" s="242"/>
      <c r="E284" s="453">
        <v>399710256.57999998</v>
      </c>
      <c r="F284" s="451">
        <v>397474412.18000001</v>
      </c>
      <c r="G284" s="459">
        <f t="shared" si="4"/>
        <v>99.440633718251235</v>
      </c>
    </row>
    <row r="285" spans="1:7">
      <c r="A285" s="241" t="s">
        <v>1190</v>
      </c>
      <c r="B285" s="242" t="s">
        <v>747</v>
      </c>
      <c r="C285" s="242" t="s">
        <v>133</v>
      </c>
      <c r="D285" s="242"/>
      <c r="E285" s="453">
        <v>399710256.57999998</v>
      </c>
      <c r="F285" s="451">
        <v>397474412.18000001</v>
      </c>
      <c r="G285" s="459">
        <f t="shared" si="4"/>
        <v>99.440633718251235</v>
      </c>
    </row>
    <row r="286" spans="1:7">
      <c r="A286" s="241" t="s">
        <v>140</v>
      </c>
      <c r="B286" s="242" t="s">
        <v>747</v>
      </c>
      <c r="C286" s="242" t="s">
        <v>133</v>
      </c>
      <c r="D286" s="242" t="s">
        <v>1142</v>
      </c>
      <c r="E286" s="453">
        <v>399710256.57999998</v>
      </c>
      <c r="F286" s="451">
        <v>397474412.18000001</v>
      </c>
      <c r="G286" s="459">
        <f t="shared" si="4"/>
        <v>99.440633718251235</v>
      </c>
    </row>
    <row r="287" spans="1:7">
      <c r="A287" s="241" t="s">
        <v>153</v>
      </c>
      <c r="B287" s="242" t="s">
        <v>747</v>
      </c>
      <c r="C287" s="242" t="s">
        <v>133</v>
      </c>
      <c r="D287" s="242" t="s">
        <v>395</v>
      </c>
      <c r="E287" s="453">
        <v>390634265.67999995</v>
      </c>
      <c r="F287" s="451">
        <v>388525115.13999999</v>
      </c>
      <c r="G287" s="459">
        <f t="shared" si="4"/>
        <v>99.460070268969247</v>
      </c>
    </row>
    <row r="288" spans="1:7">
      <c r="A288" s="241" t="s">
        <v>1077</v>
      </c>
      <c r="B288" s="242" t="s">
        <v>747</v>
      </c>
      <c r="C288" s="242" t="s">
        <v>133</v>
      </c>
      <c r="D288" s="242" t="s">
        <v>1078</v>
      </c>
      <c r="E288" s="453">
        <v>9075990.9000000004</v>
      </c>
      <c r="F288" s="451">
        <v>8949297.040000001</v>
      </c>
      <c r="G288" s="459">
        <f t="shared" si="4"/>
        <v>98.604076828679936</v>
      </c>
    </row>
    <row r="289" spans="1:7" ht="25.5">
      <c r="A289" s="241" t="s">
        <v>1319</v>
      </c>
      <c r="B289" s="242" t="s">
        <v>747</v>
      </c>
      <c r="C289" s="242" t="s">
        <v>1320</v>
      </c>
      <c r="D289" s="242"/>
      <c r="E289" s="453">
        <v>37401332.299999997</v>
      </c>
      <c r="F289" s="451">
        <v>37095476.329999998</v>
      </c>
      <c r="G289" s="459">
        <f t="shared" si="4"/>
        <v>99.182232420100178</v>
      </c>
    </row>
    <row r="290" spans="1:7" ht="25.5">
      <c r="A290" s="241" t="s">
        <v>1196</v>
      </c>
      <c r="B290" s="242" t="s">
        <v>747</v>
      </c>
      <c r="C290" s="242" t="s">
        <v>1197</v>
      </c>
      <c r="D290" s="242"/>
      <c r="E290" s="453">
        <v>37401332.299999997</v>
      </c>
      <c r="F290" s="451">
        <v>37095476.329999998</v>
      </c>
      <c r="G290" s="459">
        <f t="shared" si="4"/>
        <v>99.182232420100178</v>
      </c>
    </row>
    <row r="291" spans="1:7">
      <c r="A291" s="241" t="s">
        <v>140</v>
      </c>
      <c r="B291" s="242" t="s">
        <v>747</v>
      </c>
      <c r="C291" s="242" t="s">
        <v>1197</v>
      </c>
      <c r="D291" s="242" t="s">
        <v>1142</v>
      </c>
      <c r="E291" s="453">
        <v>37401332.299999997</v>
      </c>
      <c r="F291" s="451">
        <v>37095476.329999998</v>
      </c>
      <c r="G291" s="459">
        <f t="shared" si="4"/>
        <v>99.182232420100178</v>
      </c>
    </row>
    <row r="292" spans="1:7">
      <c r="A292" s="241" t="s">
        <v>153</v>
      </c>
      <c r="B292" s="242" t="s">
        <v>747</v>
      </c>
      <c r="C292" s="242" t="s">
        <v>1197</v>
      </c>
      <c r="D292" s="242" t="s">
        <v>395</v>
      </c>
      <c r="E292" s="453">
        <v>28292548.199999999</v>
      </c>
      <c r="F292" s="451">
        <v>27986906.23</v>
      </c>
      <c r="G292" s="459">
        <f t="shared" si="4"/>
        <v>98.91970858248817</v>
      </c>
    </row>
    <row r="293" spans="1:7">
      <c r="A293" s="241" t="s">
        <v>1077</v>
      </c>
      <c r="B293" s="242" t="s">
        <v>747</v>
      </c>
      <c r="C293" s="242" t="s">
        <v>1197</v>
      </c>
      <c r="D293" s="242" t="s">
        <v>1078</v>
      </c>
      <c r="E293" s="453">
        <v>9108784.0999999996</v>
      </c>
      <c r="F293" s="451">
        <v>9108570.0999999996</v>
      </c>
      <c r="G293" s="459">
        <f t="shared" si="4"/>
        <v>99.997650619471813</v>
      </c>
    </row>
    <row r="294" spans="1:7" ht="102">
      <c r="A294" s="241" t="s">
        <v>1361</v>
      </c>
      <c r="B294" s="242" t="s">
        <v>786</v>
      </c>
      <c r="C294" s="242"/>
      <c r="D294" s="242"/>
      <c r="E294" s="453">
        <v>18801300</v>
      </c>
      <c r="F294" s="451">
        <v>18768946.149999999</v>
      </c>
      <c r="G294" s="459">
        <f t="shared" si="4"/>
        <v>99.827916952551149</v>
      </c>
    </row>
    <row r="295" spans="1:7" ht="63.75">
      <c r="A295" s="241" t="s">
        <v>1318</v>
      </c>
      <c r="B295" s="242" t="s">
        <v>786</v>
      </c>
      <c r="C295" s="242" t="s">
        <v>273</v>
      </c>
      <c r="D295" s="242"/>
      <c r="E295" s="453">
        <v>2023711.62</v>
      </c>
      <c r="F295" s="451">
        <v>2022452.54</v>
      </c>
      <c r="G295" s="459">
        <f t="shared" si="4"/>
        <v>99.937783625514783</v>
      </c>
    </row>
    <row r="296" spans="1:7">
      <c r="A296" s="241" t="s">
        <v>1190</v>
      </c>
      <c r="B296" s="242" t="s">
        <v>786</v>
      </c>
      <c r="C296" s="242" t="s">
        <v>133</v>
      </c>
      <c r="D296" s="242"/>
      <c r="E296" s="453">
        <v>2023711.62</v>
      </c>
      <c r="F296" s="451">
        <v>2022452.54</v>
      </c>
      <c r="G296" s="459">
        <f t="shared" si="4"/>
        <v>99.937783625514783</v>
      </c>
    </row>
    <row r="297" spans="1:7">
      <c r="A297" s="241" t="s">
        <v>141</v>
      </c>
      <c r="B297" s="242" t="s">
        <v>786</v>
      </c>
      <c r="C297" s="242" t="s">
        <v>133</v>
      </c>
      <c r="D297" s="242" t="s">
        <v>1143</v>
      </c>
      <c r="E297" s="453">
        <v>2023711.62</v>
      </c>
      <c r="F297" s="451">
        <v>2022452.54</v>
      </c>
      <c r="G297" s="459">
        <f t="shared" si="4"/>
        <v>99.937783625514783</v>
      </c>
    </row>
    <row r="298" spans="1:7">
      <c r="A298" s="241" t="s">
        <v>98</v>
      </c>
      <c r="B298" s="242" t="s">
        <v>786</v>
      </c>
      <c r="C298" s="242" t="s">
        <v>133</v>
      </c>
      <c r="D298" s="242" t="s">
        <v>378</v>
      </c>
      <c r="E298" s="453">
        <v>2023711.62</v>
      </c>
      <c r="F298" s="451">
        <v>2022452.54</v>
      </c>
      <c r="G298" s="459">
        <f t="shared" si="4"/>
        <v>99.937783625514783</v>
      </c>
    </row>
    <row r="299" spans="1:7" ht="25.5">
      <c r="A299" s="241" t="s">
        <v>1319</v>
      </c>
      <c r="B299" s="242" t="s">
        <v>786</v>
      </c>
      <c r="C299" s="242" t="s">
        <v>1320</v>
      </c>
      <c r="D299" s="242"/>
      <c r="E299" s="453">
        <v>15845262.85</v>
      </c>
      <c r="F299" s="451">
        <v>15825261.41</v>
      </c>
      <c r="G299" s="459">
        <f t="shared" si="4"/>
        <v>99.873770222751475</v>
      </c>
    </row>
    <row r="300" spans="1:7" ht="25.5">
      <c r="A300" s="241" t="s">
        <v>1196</v>
      </c>
      <c r="B300" s="242" t="s">
        <v>786</v>
      </c>
      <c r="C300" s="242" t="s">
        <v>1197</v>
      </c>
      <c r="D300" s="242"/>
      <c r="E300" s="453">
        <v>15845262.85</v>
      </c>
      <c r="F300" s="451">
        <v>15825261.41</v>
      </c>
      <c r="G300" s="459">
        <f t="shared" si="4"/>
        <v>99.873770222751475</v>
      </c>
    </row>
    <row r="301" spans="1:7">
      <c r="A301" s="241" t="s">
        <v>141</v>
      </c>
      <c r="B301" s="242" t="s">
        <v>786</v>
      </c>
      <c r="C301" s="242" t="s">
        <v>1197</v>
      </c>
      <c r="D301" s="242" t="s">
        <v>1143</v>
      </c>
      <c r="E301" s="453">
        <v>15845262.85</v>
      </c>
      <c r="F301" s="451">
        <v>15825261.41</v>
      </c>
      <c r="G301" s="459">
        <f t="shared" si="4"/>
        <v>99.873770222751475</v>
      </c>
    </row>
    <row r="302" spans="1:7">
      <c r="A302" s="241" t="s">
        <v>98</v>
      </c>
      <c r="B302" s="242" t="s">
        <v>786</v>
      </c>
      <c r="C302" s="242" t="s">
        <v>1197</v>
      </c>
      <c r="D302" s="242" t="s">
        <v>378</v>
      </c>
      <c r="E302" s="453">
        <v>15845262.85</v>
      </c>
      <c r="F302" s="451">
        <v>15825261.41</v>
      </c>
      <c r="G302" s="459">
        <f t="shared" si="4"/>
        <v>99.873770222751475</v>
      </c>
    </row>
    <row r="303" spans="1:7">
      <c r="A303" s="241" t="s">
        <v>1323</v>
      </c>
      <c r="B303" s="242" t="s">
        <v>786</v>
      </c>
      <c r="C303" s="242" t="s">
        <v>1324</v>
      </c>
      <c r="D303" s="242"/>
      <c r="E303" s="453">
        <v>932325.53</v>
      </c>
      <c r="F303" s="451">
        <v>921232.2</v>
      </c>
      <c r="G303" s="459">
        <f t="shared" si="4"/>
        <v>98.810144134956801</v>
      </c>
    </row>
    <row r="304" spans="1:7" ht="25.5">
      <c r="A304" s="241" t="s">
        <v>1200</v>
      </c>
      <c r="B304" s="242" t="s">
        <v>786</v>
      </c>
      <c r="C304" s="242" t="s">
        <v>557</v>
      </c>
      <c r="D304" s="242"/>
      <c r="E304" s="453">
        <v>932325.53</v>
      </c>
      <c r="F304" s="451">
        <v>921232.2</v>
      </c>
      <c r="G304" s="459">
        <f t="shared" si="4"/>
        <v>98.810144134956801</v>
      </c>
    </row>
    <row r="305" spans="1:7">
      <c r="A305" s="241" t="s">
        <v>141</v>
      </c>
      <c r="B305" s="242" t="s">
        <v>786</v>
      </c>
      <c r="C305" s="242" t="s">
        <v>557</v>
      </c>
      <c r="D305" s="242" t="s">
        <v>1143</v>
      </c>
      <c r="E305" s="453">
        <v>932325.53</v>
      </c>
      <c r="F305" s="451">
        <v>921232.2</v>
      </c>
      <c r="G305" s="459">
        <f t="shared" si="4"/>
        <v>98.810144134956801</v>
      </c>
    </row>
    <row r="306" spans="1:7">
      <c r="A306" s="241" t="s">
        <v>98</v>
      </c>
      <c r="B306" s="242" t="s">
        <v>786</v>
      </c>
      <c r="C306" s="242" t="s">
        <v>557</v>
      </c>
      <c r="D306" s="242" t="s">
        <v>378</v>
      </c>
      <c r="E306" s="453">
        <v>932325.53</v>
      </c>
      <c r="F306" s="451">
        <v>921232.2</v>
      </c>
      <c r="G306" s="459">
        <f t="shared" si="4"/>
        <v>98.810144134956801</v>
      </c>
    </row>
    <row r="307" spans="1:7" ht="229.5">
      <c r="A307" s="241" t="s">
        <v>1355</v>
      </c>
      <c r="B307" s="242" t="s">
        <v>739</v>
      </c>
      <c r="C307" s="242"/>
      <c r="D307" s="242"/>
      <c r="E307" s="453">
        <v>167854546.74000001</v>
      </c>
      <c r="F307" s="451">
        <v>166849339.09</v>
      </c>
      <c r="G307" s="459">
        <f t="shared" si="4"/>
        <v>99.401143627311427</v>
      </c>
    </row>
    <row r="308" spans="1:7" ht="63.75">
      <c r="A308" s="241" t="s">
        <v>1318</v>
      </c>
      <c r="B308" s="242" t="s">
        <v>739</v>
      </c>
      <c r="C308" s="242" t="s">
        <v>273</v>
      </c>
      <c r="D308" s="242"/>
      <c r="E308" s="453">
        <v>155491249.13</v>
      </c>
      <c r="F308" s="451">
        <v>154545065.56999999</v>
      </c>
      <c r="G308" s="459">
        <f t="shared" si="4"/>
        <v>99.391487581909558</v>
      </c>
    </row>
    <row r="309" spans="1:7">
      <c r="A309" s="241" t="s">
        <v>1190</v>
      </c>
      <c r="B309" s="242" t="s">
        <v>739</v>
      </c>
      <c r="C309" s="242" t="s">
        <v>133</v>
      </c>
      <c r="D309" s="242"/>
      <c r="E309" s="453">
        <v>155491249.13</v>
      </c>
      <c r="F309" s="451">
        <v>154545065.56999999</v>
      </c>
      <c r="G309" s="459">
        <f t="shared" si="4"/>
        <v>99.391487581909558</v>
      </c>
    </row>
    <row r="310" spans="1:7">
      <c r="A310" s="241" t="s">
        <v>140</v>
      </c>
      <c r="B310" s="242" t="s">
        <v>739</v>
      </c>
      <c r="C310" s="242" t="s">
        <v>133</v>
      </c>
      <c r="D310" s="242" t="s">
        <v>1142</v>
      </c>
      <c r="E310" s="453">
        <v>155491249.13</v>
      </c>
      <c r="F310" s="451">
        <v>154545065.56999999</v>
      </c>
      <c r="G310" s="459">
        <f t="shared" si="4"/>
        <v>99.391487581909558</v>
      </c>
    </row>
    <row r="311" spans="1:7">
      <c r="A311" s="241" t="s">
        <v>152</v>
      </c>
      <c r="B311" s="242" t="s">
        <v>739</v>
      </c>
      <c r="C311" s="242" t="s">
        <v>133</v>
      </c>
      <c r="D311" s="242" t="s">
        <v>408</v>
      </c>
      <c r="E311" s="453">
        <v>155491249.13</v>
      </c>
      <c r="F311" s="451">
        <v>154545065.56999999</v>
      </c>
      <c r="G311" s="459">
        <f t="shared" si="4"/>
        <v>99.391487581909558</v>
      </c>
    </row>
    <row r="312" spans="1:7" ht="25.5">
      <c r="A312" s="241" t="s">
        <v>1319</v>
      </c>
      <c r="B312" s="242" t="s">
        <v>739</v>
      </c>
      <c r="C312" s="242" t="s">
        <v>1320</v>
      </c>
      <c r="D312" s="242"/>
      <c r="E312" s="453">
        <v>12363297.609999999</v>
      </c>
      <c r="F312" s="451">
        <v>12304273.52</v>
      </c>
      <c r="G312" s="459">
        <f t="shared" si="4"/>
        <v>99.522586191306601</v>
      </c>
    </row>
    <row r="313" spans="1:7" ht="25.5">
      <c r="A313" s="241" t="s">
        <v>1196</v>
      </c>
      <c r="B313" s="242" t="s">
        <v>739</v>
      </c>
      <c r="C313" s="242" t="s">
        <v>1197</v>
      </c>
      <c r="D313" s="242"/>
      <c r="E313" s="453">
        <v>12363297.609999999</v>
      </c>
      <c r="F313" s="451">
        <v>12304273.52</v>
      </c>
      <c r="G313" s="459">
        <f t="shared" si="4"/>
        <v>99.522586191306601</v>
      </c>
    </row>
    <row r="314" spans="1:7">
      <c r="A314" s="241" t="s">
        <v>140</v>
      </c>
      <c r="B314" s="242" t="s">
        <v>739</v>
      </c>
      <c r="C314" s="242" t="s">
        <v>1197</v>
      </c>
      <c r="D314" s="242" t="s">
        <v>1142</v>
      </c>
      <c r="E314" s="453">
        <v>12363297.609999999</v>
      </c>
      <c r="F314" s="451">
        <v>12304273.52</v>
      </c>
      <c r="G314" s="459">
        <f t="shared" si="4"/>
        <v>99.522586191306601</v>
      </c>
    </row>
    <row r="315" spans="1:7">
      <c r="A315" s="241" t="s">
        <v>152</v>
      </c>
      <c r="B315" s="242" t="s">
        <v>739</v>
      </c>
      <c r="C315" s="242" t="s">
        <v>1197</v>
      </c>
      <c r="D315" s="242" t="s">
        <v>408</v>
      </c>
      <c r="E315" s="453">
        <v>12363297.609999999</v>
      </c>
      <c r="F315" s="451">
        <v>12304273.52</v>
      </c>
      <c r="G315" s="459">
        <f t="shared" si="4"/>
        <v>99.522586191306601</v>
      </c>
    </row>
    <row r="316" spans="1:7" ht="63.75">
      <c r="A316" s="241" t="s">
        <v>1188</v>
      </c>
      <c r="B316" s="242" t="s">
        <v>1189</v>
      </c>
      <c r="C316" s="242"/>
      <c r="D316" s="242"/>
      <c r="E316" s="453">
        <v>14029700</v>
      </c>
      <c r="F316" s="451">
        <v>14029284.9</v>
      </c>
      <c r="G316" s="459">
        <f t="shared" si="4"/>
        <v>99.997041276720097</v>
      </c>
    </row>
    <row r="317" spans="1:7" ht="25.5">
      <c r="A317" s="241" t="s">
        <v>1319</v>
      </c>
      <c r="B317" s="242" t="s">
        <v>1189</v>
      </c>
      <c r="C317" s="242" t="s">
        <v>1320</v>
      </c>
      <c r="D317" s="242"/>
      <c r="E317" s="453">
        <v>9784917.3200000003</v>
      </c>
      <c r="F317" s="451">
        <v>9784917.3200000003</v>
      </c>
      <c r="G317" s="459">
        <f t="shared" si="4"/>
        <v>100</v>
      </c>
    </row>
    <row r="318" spans="1:7" ht="25.5">
      <c r="A318" s="241" t="s">
        <v>1196</v>
      </c>
      <c r="B318" s="242" t="s">
        <v>1189</v>
      </c>
      <c r="C318" s="242" t="s">
        <v>1197</v>
      </c>
      <c r="D318" s="242"/>
      <c r="E318" s="453">
        <v>9784917.3200000003</v>
      </c>
      <c r="F318" s="451">
        <v>9784917.3200000003</v>
      </c>
      <c r="G318" s="459">
        <f t="shared" si="4"/>
        <v>100</v>
      </c>
    </row>
    <row r="319" spans="1:7">
      <c r="A319" s="241" t="s">
        <v>140</v>
      </c>
      <c r="B319" s="242" t="s">
        <v>1189</v>
      </c>
      <c r="C319" s="242" t="s">
        <v>1197</v>
      </c>
      <c r="D319" s="242" t="s">
        <v>1142</v>
      </c>
      <c r="E319" s="453">
        <v>9784917.3200000003</v>
      </c>
      <c r="F319" s="451">
        <v>9784917.3200000003</v>
      </c>
      <c r="G319" s="459">
        <f t="shared" si="4"/>
        <v>100</v>
      </c>
    </row>
    <row r="320" spans="1:7">
      <c r="A320" s="241" t="s">
        <v>1075</v>
      </c>
      <c r="B320" s="242" t="s">
        <v>1189</v>
      </c>
      <c r="C320" s="242" t="s">
        <v>1197</v>
      </c>
      <c r="D320" s="242" t="s">
        <v>365</v>
      </c>
      <c r="E320" s="453">
        <v>9784917.3200000003</v>
      </c>
      <c r="F320" s="451">
        <v>9784917.3200000003</v>
      </c>
      <c r="G320" s="459">
        <f t="shared" si="4"/>
        <v>100</v>
      </c>
    </row>
    <row r="321" spans="1:7" ht="25.5">
      <c r="A321" s="241" t="s">
        <v>1327</v>
      </c>
      <c r="B321" s="242" t="s">
        <v>1189</v>
      </c>
      <c r="C321" s="242" t="s">
        <v>1328</v>
      </c>
      <c r="D321" s="242"/>
      <c r="E321" s="453">
        <v>4244782.68</v>
      </c>
      <c r="F321" s="451">
        <v>4244367.58</v>
      </c>
      <c r="G321" s="459">
        <f t="shared" si="4"/>
        <v>99.990220936351932</v>
      </c>
    </row>
    <row r="322" spans="1:7">
      <c r="A322" s="241" t="s">
        <v>1198</v>
      </c>
      <c r="B322" s="242" t="s">
        <v>1189</v>
      </c>
      <c r="C322" s="242" t="s">
        <v>1199</v>
      </c>
      <c r="D322" s="242"/>
      <c r="E322" s="453">
        <v>4244782.68</v>
      </c>
      <c r="F322" s="451">
        <v>4244367.58</v>
      </c>
      <c r="G322" s="459">
        <f t="shared" si="4"/>
        <v>99.990220936351932</v>
      </c>
    </row>
    <row r="323" spans="1:7">
      <c r="A323" s="241" t="s">
        <v>140</v>
      </c>
      <c r="B323" s="242" t="s">
        <v>1189</v>
      </c>
      <c r="C323" s="242" t="s">
        <v>1199</v>
      </c>
      <c r="D323" s="242" t="s">
        <v>1142</v>
      </c>
      <c r="E323" s="453">
        <v>4244782.68</v>
      </c>
      <c r="F323" s="451">
        <v>4244367.58</v>
      </c>
      <c r="G323" s="459">
        <f t="shared" si="4"/>
        <v>99.990220936351932</v>
      </c>
    </row>
    <row r="324" spans="1:7">
      <c r="A324" s="241" t="s">
        <v>1075</v>
      </c>
      <c r="B324" s="242" t="s">
        <v>1189</v>
      </c>
      <c r="C324" s="242" t="s">
        <v>1199</v>
      </c>
      <c r="D324" s="242" t="s">
        <v>365</v>
      </c>
      <c r="E324" s="453">
        <v>4244782.68</v>
      </c>
      <c r="F324" s="451">
        <v>4244367.58</v>
      </c>
      <c r="G324" s="459">
        <f t="shared" si="4"/>
        <v>99.990220936351932</v>
      </c>
    </row>
    <row r="325" spans="1:7" ht="51">
      <c r="A325" s="241" t="s">
        <v>2149</v>
      </c>
      <c r="B325" s="242" t="s">
        <v>2150</v>
      </c>
      <c r="C325" s="242"/>
      <c r="D325" s="242"/>
      <c r="E325" s="453">
        <v>2338042</v>
      </c>
      <c r="F325" s="451">
        <v>2338042</v>
      </c>
      <c r="G325" s="459">
        <f t="shared" si="4"/>
        <v>100</v>
      </c>
    </row>
    <row r="326" spans="1:7" ht="25.5">
      <c r="A326" s="241" t="s">
        <v>1319</v>
      </c>
      <c r="B326" s="242" t="s">
        <v>2150</v>
      </c>
      <c r="C326" s="242" t="s">
        <v>1320</v>
      </c>
      <c r="D326" s="242"/>
      <c r="E326" s="453">
        <v>2338042</v>
      </c>
      <c r="F326" s="451">
        <v>2338042</v>
      </c>
      <c r="G326" s="459">
        <f t="shared" si="4"/>
        <v>100</v>
      </c>
    </row>
    <row r="327" spans="1:7" ht="25.5">
      <c r="A327" s="241" t="s">
        <v>1196</v>
      </c>
      <c r="B327" s="242" t="s">
        <v>2150</v>
      </c>
      <c r="C327" s="242" t="s">
        <v>1197</v>
      </c>
      <c r="D327" s="242"/>
      <c r="E327" s="453">
        <v>2338042</v>
      </c>
      <c r="F327" s="451">
        <v>2338042</v>
      </c>
      <c r="G327" s="459">
        <f t="shared" ref="G327:G390" si="5">F327/E327*100</f>
        <v>100</v>
      </c>
    </row>
    <row r="328" spans="1:7">
      <c r="A328" s="241" t="s">
        <v>140</v>
      </c>
      <c r="B328" s="242" t="s">
        <v>2150</v>
      </c>
      <c r="C328" s="242" t="s">
        <v>1197</v>
      </c>
      <c r="D328" s="242" t="s">
        <v>1142</v>
      </c>
      <c r="E328" s="453">
        <v>2338042</v>
      </c>
      <c r="F328" s="451">
        <v>2338042</v>
      </c>
      <c r="G328" s="459">
        <f t="shared" si="5"/>
        <v>100</v>
      </c>
    </row>
    <row r="329" spans="1:7">
      <c r="A329" s="241" t="s">
        <v>153</v>
      </c>
      <c r="B329" s="242" t="s">
        <v>2150</v>
      </c>
      <c r="C329" s="242" t="s">
        <v>1197</v>
      </c>
      <c r="D329" s="242" t="s">
        <v>395</v>
      </c>
      <c r="E329" s="453">
        <v>2338042</v>
      </c>
      <c r="F329" s="451">
        <v>2338042</v>
      </c>
      <c r="G329" s="459">
        <f t="shared" si="5"/>
        <v>100</v>
      </c>
    </row>
    <row r="330" spans="1:7" ht="63.75">
      <c r="A330" s="241" t="s">
        <v>850</v>
      </c>
      <c r="B330" s="242" t="s">
        <v>849</v>
      </c>
      <c r="C330" s="242"/>
      <c r="D330" s="242"/>
      <c r="E330" s="453">
        <v>3000</v>
      </c>
      <c r="F330" s="451">
        <v>3000</v>
      </c>
      <c r="G330" s="459">
        <f t="shared" si="5"/>
        <v>100</v>
      </c>
    </row>
    <row r="331" spans="1:7">
      <c r="A331" s="241" t="s">
        <v>1321</v>
      </c>
      <c r="B331" s="242" t="s">
        <v>849</v>
      </c>
      <c r="C331" s="242" t="s">
        <v>1322</v>
      </c>
      <c r="D331" s="242"/>
      <c r="E331" s="453">
        <v>3000</v>
      </c>
      <c r="F331" s="451">
        <v>3000</v>
      </c>
      <c r="G331" s="459">
        <f t="shared" si="5"/>
        <v>100</v>
      </c>
    </row>
    <row r="332" spans="1:7">
      <c r="A332" s="241" t="s">
        <v>1201</v>
      </c>
      <c r="B332" s="242" t="s">
        <v>849</v>
      </c>
      <c r="C332" s="242" t="s">
        <v>1202</v>
      </c>
      <c r="D332" s="242"/>
      <c r="E332" s="453">
        <v>3000</v>
      </c>
      <c r="F332" s="451">
        <v>3000</v>
      </c>
      <c r="G332" s="459">
        <f t="shared" si="5"/>
        <v>100</v>
      </c>
    </row>
    <row r="333" spans="1:7">
      <c r="A333" s="241" t="s">
        <v>140</v>
      </c>
      <c r="B333" s="242" t="s">
        <v>849</v>
      </c>
      <c r="C333" s="242" t="s">
        <v>1202</v>
      </c>
      <c r="D333" s="242" t="s">
        <v>1142</v>
      </c>
      <c r="E333" s="453">
        <v>3000</v>
      </c>
      <c r="F333" s="451">
        <v>3000</v>
      </c>
      <c r="G333" s="459">
        <f t="shared" si="5"/>
        <v>100</v>
      </c>
    </row>
    <row r="334" spans="1:7">
      <c r="A334" s="241" t="s">
        <v>152</v>
      </c>
      <c r="B334" s="242" t="s">
        <v>849</v>
      </c>
      <c r="C334" s="242" t="s">
        <v>1202</v>
      </c>
      <c r="D334" s="242" t="s">
        <v>408</v>
      </c>
      <c r="E334" s="453">
        <v>3000</v>
      </c>
      <c r="F334" s="451">
        <v>3000</v>
      </c>
      <c r="G334" s="459">
        <f t="shared" si="5"/>
        <v>100</v>
      </c>
    </row>
    <row r="335" spans="1:7" ht="63.75">
      <c r="A335" s="241" t="s">
        <v>411</v>
      </c>
      <c r="B335" s="242" t="s">
        <v>761</v>
      </c>
      <c r="C335" s="242"/>
      <c r="D335" s="242"/>
      <c r="E335" s="453">
        <v>751600</v>
      </c>
      <c r="F335" s="451">
        <v>658932.5</v>
      </c>
      <c r="G335" s="459">
        <f t="shared" si="5"/>
        <v>87.670635976583284</v>
      </c>
    </row>
    <row r="336" spans="1:7" ht="25.5">
      <c r="A336" s="241" t="s">
        <v>1319</v>
      </c>
      <c r="B336" s="242" t="s">
        <v>761</v>
      </c>
      <c r="C336" s="242" t="s">
        <v>1320</v>
      </c>
      <c r="D336" s="242"/>
      <c r="E336" s="453">
        <v>584419</v>
      </c>
      <c r="F336" s="451">
        <v>491751.5</v>
      </c>
      <c r="G336" s="459">
        <f t="shared" si="5"/>
        <v>84.143653782645671</v>
      </c>
    </row>
    <row r="337" spans="1:7" ht="25.5">
      <c r="A337" s="241" t="s">
        <v>1196</v>
      </c>
      <c r="B337" s="242" t="s">
        <v>761</v>
      </c>
      <c r="C337" s="242" t="s">
        <v>1197</v>
      </c>
      <c r="D337" s="242"/>
      <c r="E337" s="453">
        <v>584419</v>
      </c>
      <c r="F337" s="451">
        <v>491751.5</v>
      </c>
      <c r="G337" s="459">
        <f t="shared" si="5"/>
        <v>84.143653782645671</v>
      </c>
    </row>
    <row r="338" spans="1:7">
      <c r="A338" s="241" t="s">
        <v>140</v>
      </c>
      <c r="B338" s="242" t="s">
        <v>761</v>
      </c>
      <c r="C338" s="242" t="s">
        <v>1197</v>
      </c>
      <c r="D338" s="242" t="s">
        <v>1142</v>
      </c>
      <c r="E338" s="453">
        <v>584419</v>
      </c>
      <c r="F338" s="451">
        <v>491751.5</v>
      </c>
      <c r="G338" s="459">
        <f t="shared" si="5"/>
        <v>84.143653782645671</v>
      </c>
    </row>
    <row r="339" spans="1:7">
      <c r="A339" s="241" t="s">
        <v>153</v>
      </c>
      <c r="B339" s="242" t="s">
        <v>761</v>
      </c>
      <c r="C339" s="242" t="s">
        <v>1197</v>
      </c>
      <c r="D339" s="242" t="s">
        <v>395</v>
      </c>
      <c r="E339" s="453">
        <v>584419</v>
      </c>
      <c r="F339" s="451">
        <v>491751.5</v>
      </c>
      <c r="G339" s="459">
        <f t="shared" si="5"/>
        <v>84.143653782645671</v>
      </c>
    </row>
    <row r="340" spans="1:7">
      <c r="A340" s="241" t="s">
        <v>1323</v>
      </c>
      <c r="B340" s="242" t="s">
        <v>761</v>
      </c>
      <c r="C340" s="242" t="s">
        <v>1324</v>
      </c>
      <c r="D340" s="242"/>
      <c r="E340" s="453">
        <v>80000</v>
      </c>
      <c r="F340" s="451">
        <v>80000</v>
      </c>
      <c r="G340" s="459">
        <f t="shared" si="5"/>
        <v>100</v>
      </c>
    </row>
    <row r="341" spans="1:7">
      <c r="A341" s="241" t="s">
        <v>531</v>
      </c>
      <c r="B341" s="242" t="s">
        <v>761</v>
      </c>
      <c r="C341" s="242" t="s">
        <v>532</v>
      </c>
      <c r="D341" s="242"/>
      <c r="E341" s="453">
        <v>80000</v>
      </c>
      <c r="F341" s="451">
        <v>80000</v>
      </c>
      <c r="G341" s="459">
        <f t="shared" si="5"/>
        <v>100</v>
      </c>
    </row>
    <row r="342" spans="1:7">
      <c r="A342" s="241" t="s">
        <v>140</v>
      </c>
      <c r="B342" s="242" t="s">
        <v>761</v>
      </c>
      <c r="C342" s="242" t="s">
        <v>532</v>
      </c>
      <c r="D342" s="242" t="s">
        <v>1142</v>
      </c>
      <c r="E342" s="453">
        <v>80000</v>
      </c>
      <c r="F342" s="451">
        <v>80000</v>
      </c>
      <c r="G342" s="459">
        <f t="shared" si="5"/>
        <v>100</v>
      </c>
    </row>
    <row r="343" spans="1:7">
      <c r="A343" s="241" t="s">
        <v>153</v>
      </c>
      <c r="B343" s="242" t="s">
        <v>761</v>
      </c>
      <c r="C343" s="242" t="s">
        <v>532</v>
      </c>
      <c r="D343" s="242" t="s">
        <v>395</v>
      </c>
      <c r="E343" s="453">
        <v>80000</v>
      </c>
      <c r="F343" s="451">
        <v>80000</v>
      </c>
      <c r="G343" s="459">
        <f t="shared" si="5"/>
        <v>100</v>
      </c>
    </row>
    <row r="344" spans="1:7" ht="25.5">
      <c r="A344" s="241" t="s">
        <v>1327</v>
      </c>
      <c r="B344" s="242" t="s">
        <v>761</v>
      </c>
      <c r="C344" s="242" t="s">
        <v>1328</v>
      </c>
      <c r="D344" s="242"/>
      <c r="E344" s="453">
        <v>87181</v>
      </c>
      <c r="F344" s="451">
        <v>87181</v>
      </c>
      <c r="G344" s="459">
        <f t="shared" si="5"/>
        <v>100</v>
      </c>
    </row>
    <row r="345" spans="1:7">
      <c r="A345" s="241" t="s">
        <v>1198</v>
      </c>
      <c r="B345" s="242" t="s">
        <v>761</v>
      </c>
      <c r="C345" s="242" t="s">
        <v>1199</v>
      </c>
      <c r="D345" s="242"/>
      <c r="E345" s="453">
        <v>87181</v>
      </c>
      <c r="F345" s="451">
        <v>87181</v>
      </c>
      <c r="G345" s="459">
        <f t="shared" si="5"/>
        <v>100</v>
      </c>
    </row>
    <row r="346" spans="1:7">
      <c r="A346" s="241" t="s">
        <v>140</v>
      </c>
      <c r="B346" s="242" t="s">
        <v>761</v>
      </c>
      <c r="C346" s="242" t="s">
        <v>1199</v>
      </c>
      <c r="D346" s="242" t="s">
        <v>1142</v>
      </c>
      <c r="E346" s="453">
        <v>87181</v>
      </c>
      <c r="F346" s="451">
        <v>87181</v>
      </c>
      <c r="G346" s="459">
        <f t="shared" si="5"/>
        <v>100</v>
      </c>
    </row>
    <row r="347" spans="1:7">
      <c r="A347" s="241" t="s">
        <v>1077</v>
      </c>
      <c r="B347" s="242" t="s">
        <v>761</v>
      </c>
      <c r="C347" s="242" t="s">
        <v>1199</v>
      </c>
      <c r="D347" s="242" t="s">
        <v>1078</v>
      </c>
      <c r="E347" s="453">
        <v>87181</v>
      </c>
      <c r="F347" s="451">
        <v>87181</v>
      </c>
      <c r="G347" s="459">
        <f t="shared" si="5"/>
        <v>100</v>
      </c>
    </row>
    <row r="348" spans="1:7" ht="63.75">
      <c r="A348" s="241" t="s">
        <v>393</v>
      </c>
      <c r="B348" s="242" t="s">
        <v>776</v>
      </c>
      <c r="C348" s="242"/>
      <c r="D348" s="242"/>
      <c r="E348" s="453">
        <v>2953249.56</v>
      </c>
      <c r="F348" s="451">
        <v>2953249.56</v>
      </c>
      <c r="G348" s="459">
        <f t="shared" si="5"/>
        <v>100</v>
      </c>
    </row>
    <row r="349" spans="1:7" ht="25.5">
      <c r="A349" s="241" t="s">
        <v>1319</v>
      </c>
      <c r="B349" s="242" t="s">
        <v>776</v>
      </c>
      <c r="C349" s="242" t="s">
        <v>1320</v>
      </c>
      <c r="D349" s="242"/>
      <c r="E349" s="453">
        <v>1688249.56</v>
      </c>
      <c r="F349" s="451">
        <v>1688249.56</v>
      </c>
      <c r="G349" s="459">
        <f t="shared" si="5"/>
        <v>100</v>
      </c>
    </row>
    <row r="350" spans="1:7" ht="25.5">
      <c r="A350" s="241" t="s">
        <v>1196</v>
      </c>
      <c r="B350" s="242" t="s">
        <v>776</v>
      </c>
      <c r="C350" s="242" t="s">
        <v>1197</v>
      </c>
      <c r="D350" s="242"/>
      <c r="E350" s="453">
        <v>1688249.56</v>
      </c>
      <c r="F350" s="451">
        <v>1688249.56</v>
      </c>
      <c r="G350" s="459">
        <f t="shared" si="5"/>
        <v>100</v>
      </c>
    </row>
    <row r="351" spans="1:7">
      <c r="A351" s="241" t="s">
        <v>140</v>
      </c>
      <c r="B351" s="242" t="s">
        <v>776</v>
      </c>
      <c r="C351" s="242" t="s">
        <v>1197</v>
      </c>
      <c r="D351" s="242" t="s">
        <v>1142</v>
      </c>
      <c r="E351" s="453">
        <v>1688249.56</v>
      </c>
      <c r="F351" s="451">
        <v>1688249.56</v>
      </c>
      <c r="G351" s="459">
        <f t="shared" si="5"/>
        <v>100</v>
      </c>
    </row>
    <row r="352" spans="1:7">
      <c r="A352" s="241" t="s">
        <v>1075</v>
      </c>
      <c r="B352" s="242" t="s">
        <v>776</v>
      </c>
      <c r="C352" s="242" t="s">
        <v>1197</v>
      </c>
      <c r="D352" s="242" t="s">
        <v>365</v>
      </c>
      <c r="E352" s="453">
        <v>1688249.56</v>
      </c>
      <c r="F352" s="451">
        <v>1688249.56</v>
      </c>
      <c r="G352" s="459">
        <f t="shared" si="5"/>
        <v>100</v>
      </c>
    </row>
    <row r="353" spans="1:7" ht="25.5">
      <c r="A353" s="241" t="s">
        <v>1327</v>
      </c>
      <c r="B353" s="242" t="s">
        <v>776</v>
      </c>
      <c r="C353" s="242" t="s">
        <v>1328</v>
      </c>
      <c r="D353" s="242"/>
      <c r="E353" s="453">
        <v>1265000</v>
      </c>
      <c r="F353" s="451">
        <v>1265000</v>
      </c>
      <c r="G353" s="459">
        <f t="shared" si="5"/>
        <v>100</v>
      </c>
    </row>
    <row r="354" spans="1:7">
      <c r="A354" s="241" t="s">
        <v>1198</v>
      </c>
      <c r="B354" s="242" t="s">
        <v>776</v>
      </c>
      <c r="C354" s="242" t="s">
        <v>1199</v>
      </c>
      <c r="D354" s="242"/>
      <c r="E354" s="453">
        <v>1265000</v>
      </c>
      <c r="F354" s="451">
        <v>1265000</v>
      </c>
      <c r="G354" s="459">
        <f t="shared" si="5"/>
        <v>100</v>
      </c>
    </row>
    <row r="355" spans="1:7">
      <c r="A355" s="241" t="s">
        <v>140</v>
      </c>
      <c r="B355" s="242" t="s">
        <v>776</v>
      </c>
      <c r="C355" s="242" t="s">
        <v>1199</v>
      </c>
      <c r="D355" s="242" t="s">
        <v>1142</v>
      </c>
      <c r="E355" s="453">
        <v>1265000</v>
      </c>
      <c r="F355" s="451">
        <v>1265000</v>
      </c>
      <c r="G355" s="459">
        <f t="shared" si="5"/>
        <v>100</v>
      </c>
    </row>
    <row r="356" spans="1:7">
      <c r="A356" s="241" t="s">
        <v>1075</v>
      </c>
      <c r="B356" s="242" t="s">
        <v>776</v>
      </c>
      <c r="C356" s="242" t="s">
        <v>1199</v>
      </c>
      <c r="D356" s="242" t="s">
        <v>365</v>
      </c>
      <c r="E356" s="453">
        <v>1265000</v>
      </c>
      <c r="F356" s="451">
        <v>1265000</v>
      </c>
      <c r="G356" s="459">
        <f t="shared" si="5"/>
        <v>100</v>
      </c>
    </row>
    <row r="357" spans="1:7" ht="51">
      <c r="A357" s="241" t="s">
        <v>533</v>
      </c>
      <c r="B357" s="242" t="s">
        <v>764</v>
      </c>
      <c r="C357" s="242"/>
      <c r="D357" s="242"/>
      <c r="E357" s="453">
        <v>187200</v>
      </c>
      <c r="F357" s="451">
        <v>187200</v>
      </c>
      <c r="G357" s="459">
        <f t="shared" si="5"/>
        <v>100</v>
      </c>
    </row>
    <row r="358" spans="1:7">
      <c r="A358" s="241" t="s">
        <v>1323</v>
      </c>
      <c r="B358" s="242" t="s">
        <v>764</v>
      </c>
      <c r="C358" s="242" t="s">
        <v>1324</v>
      </c>
      <c r="D358" s="242"/>
      <c r="E358" s="453">
        <v>187200</v>
      </c>
      <c r="F358" s="451">
        <v>187200</v>
      </c>
      <c r="G358" s="459">
        <f t="shared" si="5"/>
        <v>100</v>
      </c>
    </row>
    <row r="359" spans="1:7">
      <c r="A359" s="241" t="s">
        <v>1811</v>
      </c>
      <c r="B359" s="242" t="s">
        <v>764</v>
      </c>
      <c r="C359" s="242" t="s">
        <v>1812</v>
      </c>
      <c r="D359" s="242"/>
      <c r="E359" s="453">
        <v>187200</v>
      </c>
      <c r="F359" s="451">
        <v>187200</v>
      </c>
      <c r="G359" s="459">
        <f t="shared" si="5"/>
        <v>100</v>
      </c>
    </row>
    <row r="360" spans="1:7">
      <c r="A360" s="241" t="s">
        <v>140</v>
      </c>
      <c r="B360" s="242" t="s">
        <v>764</v>
      </c>
      <c r="C360" s="242" t="s">
        <v>1812</v>
      </c>
      <c r="D360" s="242" t="s">
        <v>1142</v>
      </c>
      <c r="E360" s="453">
        <v>187200</v>
      </c>
      <c r="F360" s="451">
        <v>187200</v>
      </c>
      <c r="G360" s="459">
        <f t="shared" si="5"/>
        <v>100</v>
      </c>
    </row>
    <row r="361" spans="1:7">
      <c r="A361" s="241" t="s">
        <v>153</v>
      </c>
      <c r="B361" s="242" t="s">
        <v>764</v>
      </c>
      <c r="C361" s="242" t="s">
        <v>1812</v>
      </c>
      <c r="D361" s="242" t="s">
        <v>395</v>
      </c>
      <c r="E361" s="453">
        <v>187200</v>
      </c>
      <c r="F361" s="451">
        <v>187200</v>
      </c>
      <c r="G361" s="459">
        <f t="shared" si="5"/>
        <v>100</v>
      </c>
    </row>
    <row r="362" spans="1:7" ht="76.5">
      <c r="A362" s="241" t="s">
        <v>2169</v>
      </c>
      <c r="B362" s="242" t="s">
        <v>696</v>
      </c>
      <c r="C362" s="242"/>
      <c r="D362" s="242"/>
      <c r="E362" s="453">
        <v>18078031</v>
      </c>
      <c r="F362" s="451">
        <v>13677860.310000001</v>
      </c>
      <c r="G362" s="459">
        <f t="shared" si="5"/>
        <v>75.660122001118381</v>
      </c>
    </row>
    <row r="363" spans="1:7" ht="25.5">
      <c r="A363" s="241" t="s">
        <v>1319</v>
      </c>
      <c r="B363" s="242" t="s">
        <v>696</v>
      </c>
      <c r="C363" s="242" t="s">
        <v>1320</v>
      </c>
      <c r="D363" s="242"/>
      <c r="E363" s="453">
        <v>18078031</v>
      </c>
      <c r="F363" s="451">
        <v>13677860.310000001</v>
      </c>
      <c r="G363" s="459">
        <f t="shared" si="5"/>
        <v>75.660122001118381</v>
      </c>
    </row>
    <row r="364" spans="1:7" ht="25.5">
      <c r="A364" s="241" t="s">
        <v>1196</v>
      </c>
      <c r="B364" s="242" t="s">
        <v>696</v>
      </c>
      <c r="C364" s="242" t="s">
        <v>1197</v>
      </c>
      <c r="D364" s="242"/>
      <c r="E364" s="453">
        <v>18078031</v>
      </c>
      <c r="F364" s="451">
        <v>13677860.310000001</v>
      </c>
      <c r="G364" s="459">
        <f t="shared" si="5"/>
        <v>75.660122001118381</v>
      </c>
    </row>
    <row r="365" spans="1:7">
      <c r="A365" s="241" t="s">
        <v>140</v>
      </c>
      <c r="B365" s="242" t="s">
        <v>696</v>
      </c>
      <c r="C365" s="242" t="s">
        <v>1197</v>
      </c>
      <c r="D365" s="242" t="s">
        <v>1142</v>
      </c>
      <c r="E365" s="453">
        <v>18078031</v>
      </c>
      <c r="F365" s="451">
        <v>13677860.310000001</v>
      </c>
      <c r="G365" s="459">
        <f t="shared" si="5"/>
        <v>75.660122001118381</v>
      </c>
    </row>
    <row r="366" spans="1:7">
      <c r="A366" s="241" t="s">
        <v>152</v>
      </c>
      <c r="B366" s="242" t="s">
        <v>696</v>
      </c>
      <c r="C366" s="242" t="s">
        <v>1197</v>
      </c>
      <c r="D366" s="242" t="s">
        <v>408</v>
      </c>
      <c r="E366" s="453">
        <v>5000000</v>
      </c>
      <c r="F366" s="451">
        <v>599999.51</v>
      </c>
      <c r="G366" s="459">
        <f t="shared" si="5"/>
        <v>11.999990200000001</v>
      </c>
    </row>
    <row r="367" spans="1:7">
      <c r="A367" s="241" t="s">
        <v>153</v>
      </c>
      <c r="B367" s="242" t="s">
        <v>696</v>
      </c>
      <c r="C367" s="242" t="s">
        <v>1197</v>
      </c>
      <c r="D367" s="242" t="s">
        <v>395</v>
      </c>
      <c r="E367" s="453">
        <v>13078031</v>
      </c>
      <c r="F367" s="451">
        <v>13077860.800000001</v>
      </c>
      <c r="G367" s="459">
        <f t="shared" si="5"/>
        <v>99.998698580849066</v>
      </c>
    </row>
    <row r="368" spans="1:7" ht="51">
      <c r="A368" s="241" t="s">
        <v>584</v>
      </c>
      <c r="B368" s="242" t="s">
        <v>763</v>
      </c>
      <c r="C368" s="242"/>
      <c r="D368" s="242"/>
      <c r="E368" s="453">
        <v>40551</v>
      </c>
      <c r="F368" s="451">
        <v>40551</v>
      </c>
      <c r="G368" s="459">
        <f t="shared" si="5"/>
        <v>100</v>
      </c>
    </row>
    <row r="369" spans="1:7" ht="25.5">
      <c r="A369" s="241" t="s">
        <v>1319</v>
      </c>
      <c r="B369" s="242" t="s">
        <v>763</v>
      </c>
      <c r="C369" s="242" t="s">
        <v>1320</v>
      </c>
      <c r="D369" s="242"/>
      <c r="E369" s="453">
        <v>40551</v>
      </c>
      <c r="F369" s="451">
        <v>40551</v>
      </c>
      <c r="G369" s="459">
        <f t="shared" si="5"/>
        <v>100</v>
      </c>
    </row>
    <row r="370" spans="1:7" ht="25.5">
      <c r="A370" s="241" t="s">
        <v>1196</v>
      </c>
      <c r="B370" s="242" t="s">
        <v>763</v>
      </c>
      <c r="C370" s="242" t="s">
        <v>1197</v>
      </c>
      <c r="D370" s="242"/>
      <c r="E370" s="453">
        <v>40551</v>
      </c>
      <c r="F370" s="451">
        <v>40551</v>
      </c>
      <c r="G370" s="459">
        <f t="shared" si="5"/>
        <v>100</v>
      </c>
    </row>
    <row r="371" spans="1:7">
      <c r="A371" s="241" t="s">
        <v>140</v>
      </c>
      <c r="B371" s="242" t="s">
        <v>763</v>
      </c>
      <c r="C371" s="242" t="s">
        <v>1197</v>
      </c>
      <c r="D371" s="242" t="s">
        <v>1142</v>
      </c>
      <c r="E371" s="453">
        <v>40551</v>
      </c>
      <c r="F371" s="451">
        <v>40551</v>
      </c>
      <c r="G371" s="459">
        <f t="shared" si="5"/>
        <v>100</v>
      </c>
    </row>
    <row r="372" spans="1:7">
      <c r="A372" s="241" t="s">
        <v>153</v>
      </c>
      <c r="B372" s="242" t="s">
        <v>763</v>
      </c>
      <c r="C372" s="242" t="s">
        <v>1197</v>
      </c>
      <c r="D372" s="242" t="s">
        <v>395</v>
      </c>
      <c r="E372" s="453">
        <v>40551</v>
      </c>
      <c r="F372" s="451">
        <v>40551</v>
      </c>
      <c r="G372" s="459">
        <f t="shared" si="5"/>
        <v>100</v>
      </c>
    </row>
    <row r="373" spans="1:7" ht="63.75">
      <c r="A373" s="241" t="s">
        <v>2096</v>
      </c>
      <c r="B373" s="242" t="s">
        <v>2097</v>
      </c>
      <c r="C373" s="242"/>
      <c r="D373" s="242"/>
      <c r="E373" s="453">
        <v>4400</v>
      </c>
      <c r="F373" s="451">
        <v>4400</v>
      </c>
      <c r="G373" s="459">
        <f t="shared" si="5"/>
        <v>100</v>
      </c>
    </row>
    <row r="374" spans="1:7" ht="25.5">
      <c r="A374" s="241" t="s">
        <v>1319</v>
      </c>
      <c r="B374" s="242" t="s">
        <v>2097</v>
      </c>
      <c r="C374" s="242" t="s">
        <v>1320</v>
      </c>
      <c r="D374" s="242"/>
      <c r="E374" s="453">
        <v>4400</v>
      </c>
      <c r="F374" s="451">
        <v>4400</v>
      </c>
      <c r="G374" s="459">
        <f t="shared" si="5"/>
        <v>100</v>
      </c>
    </row>
    <row r="375" spans="1:7" ht="25.5">
      <c r="A375" s="241" t="s">
        <v>1196</v>
      </c>
      <c r="B375" s="242" t="s">
        <v>2097</v>
      </c>
      <c r="C375" s="242" t="s">
        <v>1197</v>
      </c>
      <c r="D375" s="242"/>
      <c r="E375" s="453">
        <v>4400</v>
      </c>
      <c r="F375" s="451">
        <v>4400</v>
      </c>
      <c r="G375" s="459">
        <f t="shared" si="5"/>
        <v>100</v>
      </c>
    </row>
    <row r="376" spans="1:7">
      <c r="A376" s="241" t="s">
        <v>140</v>
      </c>
      <c r="B376" s="242" t="s">
        <v>2097</v>
      </c>
      <c r="C376" s="242" t="s">
        <v>1197</v>
      </c>
      <c r="D376" s="242" t="s">
        <v>1142</v>
      </c>
      <c r="E376" s="453">
        <v>4400</v>
      </c>
      <c r="F376" s="451">
        <v>4400</v>
      </c>
      <c r="G376" s="459">
        <f t="shared" si="5"/>
        <v>100</v>
      </c>
    </row>
    <row r="377" spans="1:7">
      <c r="A377" s="241" t="s">
        <v>153</v>
      </c>
      <c r="B377" s="242" t="s">
        <v>2097</v>
      </c>
      <c r="C377" s="242" t="s">
        <v>1197</v>
      </c>
      <c r="D377" s="242" t="s">
        <v>395</v>
      </c>
      <c r="E377" s="453">
        <v>4400</v>
      </c>
      <c r="F377" s="451">
        <v>4400</v>
      </c>
      <c r="G377" s="459">
        <f t="shared" si="5"/>
        <v>100</v>
      </c>
    </row>
    <row r="378" spans="1:7" ht="127.5">
      <c r="A378" s="241" t="s">
        <v>1666</v>
      </c>
      <c r="B378" s="242" t="s">
        <v>1667</v>
      </c>
      <c r="C378" s="242"/>
      <c r="D378" s="242"/>
      <c r="E378" s="453">
        <v>28858196.23</v>
      </c>
      <c r="F378" s="451">
        <v>26776659.100000001</v>
      </c>
      <c r="G378" s="459">
        <f t="shared" si="5"/>
        <v>92.787015815506507</v>
      </c>
    </row>
    <row r="379" spans="1:7" ht="25.5">
      <c r="A379" s="241" t="s">
        <v>1319</v>
      </c>
      <c r="B379" s="242" t="s">
        <v>1667</v>
      </c>
      <c r="C379" s="242" t="s">
        <v>1320</v>
      </c>
      <c r="D379" s="242"/>
      <c r="E379" s="453">
        <v>28858196.23</v>
      </c>
      <c r="F379" s="451">
        <v>26776659.100000001</v>
      </c>
      <c r="G379" s="459">
        <f t="shared" si="5"/>
        <v>92.787015815506507</v>
      </c>
    </row>
    <row r="380" spans="1:7" ht="25.5">
      <c r="A380" s="241" t="s">
        <v>1196</v>
      </c>
      <c r="B380" s="242" t="s">
        <v>1667</v>
      </c>
      <c r="C380" s="242" t="s">
        <v>1197</v>
      </c>
      <c r="D380" s="242"/>
      <c r="E380" s="453">
        <v>28858196.23</v>
      </c>
      <c r="F380" s="451">
        <v>26776659.100000001</v>
      </c>
      <c r="G380" s="459">
        <f t="shared" si="5"/>
        <v>92.787015815506507</v>
      </c>
    </row>
    <row r="381" spans="1:7">
      <c r="A381" s="241" t="s">
        <v>141</v>
      </c>
      <c r="B381" s="242" t="s">
        <v>1667</v>
      </c>
      <c r="C381" s="242" t="s">
        <v>1197</v>
      </c>
      <c r="D381" s="242" t="s">
        <v>1143</v>
      </c>
      <c r="E381" s="453">
        <v>28858196.23</v>
      </c>
      <c r="F381" s="451">
        <v>26776659.100000001</v>
      </c>
      <c r="G381" s="459">
        <f t="shared" si="5"/>
        <v>92.787015815506507</v>
      </c>
    </row>
    <row r="382" spans="1:7">
      <c r="A382" s="241" t="s">
        <v>98</v>
      </c>
      <c r="B382" s="242" t="s">
        <v>1667</v>
      </c>
      <c r="C382" s="242" t="s">
        <v>1197</v>
      </c>
      <c r="D382" s="242" t="s">
        <v>378</v>
      </c>
      <c r="E382" s="453">
        <v>28858196.23</v>
      </c>
      <c r="F382" s="451">
        <v>26776659.100000001</v>
      </c>
      <c r="G382" s="459">
        <f t="shared" si="5"/>
        <v>92.787015815506507</v>
      </c>
    </row>
    <row r="383" spans="1:7" ht="153">
      <c r="A383" s="241" t="s">
        <v>1478</v>
      </c>
      <c r="B383" s="242" t="s">
        <v>774</v>
      </c>
      <c r="C383" s="242"/>
      <c r="D383" s="242"/>
      <c r="E383" s="453">
        <v>358360</v>
      </c>
      <c r="F383" s="451">
        <v>312040.21999999997</v>
      </c>
      <c r="G383" s="459">
        <f t="shared" si="5"/>
        <v>87.074511664248234</v>
      </c>
    </row>
    <row r="384" spans="1:7" ht="25.5">
      <c r="A384" s="241" t="s">
        <v>1327</v>
      </c>
      <c r="B384" s="242" t="s">
        <v>774</v>
      </c>
      <c r="C384" s="242" t="s">
        <v>1328</v>
      </c>
      <c r="D384" s="242"/>
      <c r="E384" s="453">
        <v>358360</v>
      </c>
      <c r="F384" s="451">
        <v>312040.21999999997</v>
      </c>
      <c r="G384" s="459">
        <f t="shared" si="5"/>
        <v>87.074511664248234</v>
      </c>
    </row>
    <row r="385" spans="1:7">
      <c r="A385" s="241" t="s">
        <v>1198</v>
      </c>
      <c r="B385" s="242" t="s">
        <v>774</v>
      </c>
      <c r="C385" s="242" t="s">
        <v>1199</v>
      </c>
      <c r="D385" s="242"/>
      <c r="E385" s="453">
        <v>358360</v>
      </c>
      <c r="F385" s="451">
        <v>312040.21999999997</v>
      </c>
      <c r="G385" s="459">
        <f t="shared" si="5"/>
        <v>87.074511664248234</v>
      </c>
    </row>
    <row r="386" spans="1:7">
      <c r="A386" s="241" t="s">
        <v>140</v>
      </c>
      <c r="B386" s="242" t="s">
        <v>774</v>
      </c>
      <c r="C386" s="242" t="s">
        <v>1199</v>
      </c>
      <c r="D386" s="242" t="s">
        <v>1142</v>
      </c>
      <c r="E386" s="453">
        <v>358360</v>
      </c>
      <c r="F386" s="451">
        <v>312040.21999999997</v>
      </c>
      <c r="G386" s="459">
        <f t="shared" si="5"/>
        <v>87.074511664248234</v>
      </c>
    </row>
    <row r="387" spans="1:7">
      <c r="A387" s="241" t="s">
        <v>1075</v>
      </c>
      <c r="B387" s="242" t="s">
        <v>774</v>
      </c>
      <c r="C387" s="242" t="s">
        <v>1199</v>
      </c>
      <c r="D387" s="242" t="s">
        <v>365</v>
      </c>
      <c r="E387" s="453">
        <v>358360</v>
      </c>
      <c r="F387" s="451">
        <v>312040.21999999997</v>
      </c>
      <c r="G387" s="459">
        <f t="shared" si="5"/>
        <v>87.074511664248234</v>
      </c>
    </row>
    <row r="388" spans="1:7" ht="76.5">
      <c r="A388" s="241" t="s">
        <v>2050</v>
      </c>
      <c r="B388" s="242" t="s">
        <v>2051</v>
      </c>
      <c r="C388" s="242"/>
      <c r="D388" s="242"/>
      <c r="E388" s="453">
        <v>5151560</v>
      </c>
      <c r="F388" s="451">
        <v>0</v>
      </c>
      <c r="G388" s="459">
        <f t="shared" si="5"/>
        <v>0</v>
      </c>
    </row>
    <row r="389" spans="1:7" ht="25.5">
      <c r="A389" s="241" t="s">
        <v>1319</v>
      </c>
      <c r="B389" s="242" t="s">
        <v>2051</v>
      </c>
      <c r="C389" s="242" t="s">
        <v>1320</v>
      </c>
      <c r="D389" s="242"/>
      <c r="E389" s="453">
        <v>5151560</v>
      </c>
      <c r="F389" s="451">
        <v>0</v>
      </c>
      <c r="G389" s="459">
        <f t="shared" si="5"/>
        <v>0</v>
      </c>
    </row>
    <row r="390" spans="1:7" ht="25.5">
      <c r="A390" s="241" t="s">
        <v>1196</v>
      </c>
      <c r="B390" s="242" t="s">
        <v>2051</v>
      </c>
      <c r="C390" s="242" t="s">
        <v>1197</v>
      </c>
      <c r="D390" s="242"/>
      <c r="E390" s="453">
        <v>5151560</v>
      </c>
      <c r="F390" s="451">
        <v>0</v>
      </c>
      <c r="G390" s="459">
        <f t="shared" si="5"/>
        <v>0</v>
      </c>
    </row>
    <row r="391" spans="1:7">
      <c r="A391" s="241" t="s">
        <v>140</v>
      </c>
      <c r="B391" s="242" t="s">
        <v>2051</v>
      </c>
      <c r="C391" s="242" t="s">
        <v>1197</v>
      </c>
      <c r="D391" s="242" t="s">
        <v>1142</v>
      </c>
      <c r="E391" s="453">
        <v>5151560</v>
      </c>
      <c r="F391" s="451">
        <v>0</v>
      </c>
      <c r="G391" s="459">
        <f t="shared" ref="G391:G454" si="6">F391/E391*100</f>
        <v>0</v>
      </c>
    </row>
    <row r="392" spans="1:7">
      <c r="A392" s="241" t="s">
        <v>1075</v>
      </c>
      <c r="B392" s="242" t="s">
        <v>2051</v>
      </c>
      <c r="C392" s="242" t="s">
        <v>1197</v>
      </c>
      <c r="D392" s="242" t="s">
        <v>365</v>
      </c>
      <c r="E392" s="453">
        <v>5151560</v>
      </c>
      <c r="F392" s="451">
        <v>0</v>
      </c>
      <c r="G392" s="459">
        <f t="shared" si="6"/>
        <v>0</v>
      </c>
    </row>
    <row r="393" spans="1:7" ht="76.5">
      <c r="A393" s="241" t="s">
        <v>2175</v>
      </c>
      <c r="B393" s="242" t="s">
        <v>2208</v>
      </c>
      <c r="C393" s="242"/>
      <c r="D393" s="242"/>
      <c r="E393" s="453">
        <v>4864110.97</v>
      </c>
      <c r="F393" s="451">
        <v>3028367.95</v>
      </c>
      <c r="G393" s="459">
        <f t="shared" si="6"/>
        <v>62.259433813863019</v>
      </c>
    </row>
    <row r="394" spans="1:7" ht="25.5">
      <c r="A394" s="241" t="s">
        <v>1319</v>
      </c>
      <c r="B394" s="242" t="s">
        <v>2208</v>
      </c>
      <c r="C394" s="242" t="s">
        <v>1320</v>
      </c>
      <c r="D394" s="242"/>
      <c r="E394" s="453">
        <v>4864110.97</v>
      </c>
      <c r="F394" s="451">
        <v>3028367.95</v>
      </c>
      <c r="G394" s="459">
        <f t="shared" si="6"/>
        <v>62.259433813863019</v>
      </c>
    </row>
    <row r="395" spans="1:7" ht="25.5">
      <c r="A395" s="241" t="s">
        <v>1196</v>
      </c>
      <c r="B395" s="242" t="s">
        <v>2208</v>
      </c>
      <c r="C395" s="242" t="s">
        <v>1197</v>
      </c>
      <c r="D395" s="242"/>
      <c r="E395" s="453">
        <v>4864110.97</v>
      </c>
      <c r="F395" s="451">
        <v>3028367.95</v>
      </c>
      <c r="G395" s="459">
        <f t="shared" si="6"/>
        <v>62.259433813863019</v>
      </c>
    </row>
    <row r="396" spans="1:7">
      <c r="A396" s="241" t="s">
        <v>140</v>
      </c>
      <c r="B396" s="242" t="s">
        <v>2208</v>
      </c>
      <c r="C396" s="242" t="s">
        <v>1197</v>
      </c>
      <c r="D396" s="242" t="s">
        <v>1142</v>
      </c>
      <c r="E396" s="453">
        <v>4864110.97</v>
      </c>
      <c r="F396" s="451">
        <v>3028367.95</v>
      </c>
      <c r="G396" s="459">
        <f t="shared" si="6"/>
        <v>62.259433813863019</v>
      </c>
    </row>
    <row r="397" spans="1:7">
      <c r="A397" s="241" t="s">
        <v>153</v>
      </c>
      <c r="B397" s="242" t="s">
        <v>2208</v>
      </c>
      <c r="C397" s="242" t="s">
        <v>1197</v>
      </c>
      <c r="D397" s="242" t="s">
        <v>395</v>
      </c>
      <c r="E397" s="453">
        <v>4864110.97</v>
      </c>
      <c r="F397" s="451">
        <v>3028367.95</v>
      </c>
      <c r="G397" s="459">
        <f t="shared" si="6"/>
        <v>62.259433813863019</v>
      </c>
    </row>
    <row r="398" spans="1:7" ht="76.5">
      <c r="A398" s="241" t="s">
        <v>1813</v>
      </c>
      <c r="B398" s="242" t="s">
        <v>1358</v>
      </c>
      <c r="C398" s="242"/>
      <c r="D398" s="242"/>
      <c r="E398" s="453">
        <v>9650000</v>
      </c>
      <c r="F398" s="451">
        <v>9650000</v>
      </c>
      <c r="G398" s="459">
        <f t="shared" si="6"/>
        <v>100</v>
      </c>
    </row>
    <row r="399" spans="1:7" ht="25.5">
      <c r="A399" s="241" t="s">
        <v>1319</v>
      </c>
      <c r="B399" s="242" t="s">
        <v>1358</v>
      </c>
      <c r="C399" s="242" t="s">
        <v>1320</v>
      </c>
      <c r="D399" s="242"/>
      <c r="E399" s="453">
        <v>9650000</v>
      </c>
      <c r="F399" s="451">
        <v>9650000</v>
      </c>
      <c r="G399" s="459">
        <f t="shared" si="6"/>
        <v>100</v>
      </c>
    </row>
    <row r="400" spans="1:7" ht="25.5">
      <c r="A400" s="241" t="s">
        <v>1196</v>
      </c>
      <c r="B400" s="242" t="s">
        <v>1358</v>
      </c>
      <c r="C400" s="242" t="s">
        <v>1197</v>
      </c>
      <c r="D400" s="242"/>
      <c r="E400" s="453">
        <v>9650000</v>
      </c>
      <c r="F400" s="451">
        <v>9650000</v>
      </c>
      <c r="G400" s="459">
        <f t="shared" si="6"/>
        <v>100</v>
      </c>
    </row>
    <row r="401" spans="1:7">
      <c r="A401" s="241" t="s">
        <v>140</v>
      </c>
      <c r="B401" s="242" t="s">
        <v>1358</v>
      </c>
      <c r="C401" s="242" t="s">
        <v>1197</v>
      </c>
      <c r="D401" s="242" t="s">
        <v>1142</v>
      </c>
      <c r="E401" s="453">
        <v>9650000</v>
      </c>
      <c r="F401" s="451">
        <v>9650000</v>
      </c>
      <c r="G401" s="459">
        <f t="shared" si="6"/>
        <v>100</v>
      </c>
    </row>
    <row r="402" spans="1:7">
      <c r="A402" s="241" t="s">
        <v>153</v>
      </c>
      <c r="B402" s="242" t="s">
        <v>1358</v>
      </c>
      <c r="C402" s="242" t="s">
        <v>1197</v>
      </c>
      <c r="D402" s="242" t="s">
        <v>395</v>
      </c>
      <c r="E402" s="453">
        <v>9650000</v>
      </c>
      <c r="F402" s="451">
        <v>9650000</v>
      </c>
      <c r="G402" s="459">
        <f t="shared" si="6"/>
        <v>100</v>
      </c>
    </row>
    <row r="403" spans="1:7" ht="89.25">
      <c r="A403" s="241" t="s">
        <v>1771</v>
      </c>
      <c r="B403" s="242" t="s">
        <v>1359</v>
      </c>
      <c r="C403" s="242"/>
      <c r="D403" s="242"/>
      <c r="E403" s="453">
        <v>2730000</v>
      </c>
      <c r="F403" s="451">
        <v>2730000</v>
      </c>
      <c r="G403" s="459">
        <f t="shared" si="6"/>
        <v>100</v>
      </c>
    </row>
    <row r="404" spans="1:7" ht="25.5">
      <c r="A404" s="241" t="s">
        <v>1319</v>
      </c>
      <c r="B404" s="242" t="s">
        <v>1359</v>
      </c>
      <c r="C404" s="242" t="s">
        <v>1320</v>
      </c>
      <c r="D404" s="242"/>
      <c r="E404" s="453">
        <v>2730000</v>
      </c>
      <c r="F404" s="451">
        <v>2730000</v>
      </c>
      <c r="G404" s="459">
        <f t="shared" si="6"/>
        <v>100</v>
      </c>
    </row>
    <row r="405" spans="1:7" ht="25.5">
      <c r="A405" s="241" t="s">
        <v>1196</v>
      </c>
      <c r="B405" s="242" t="s">
        <v>1359</v>
      </c>
      <c r="C405" s="242" t="s">
        <v>1197</v>
      </c>
      <c r="D405" s="242"/>
      <c r="E405" s="453">
        <v>2730000</v>
      </c>
      <c r="F405" s="451">
        <v>2730000</v>
      </c>
      <c r="G405" s="459">
        <f t="shared" si="6"/>
        <v>100</v>
      </c>
    </row>
    <row r="406" spans="1:7">
      <c r="A406" s="241" t="s">
        <v>140</v>
      </c>
      <c r="B406" s="242" t="s">
        <v>1359</v>
      </c>
      <c r="C406" s="242" t="s">
        <v>1197</v>
      </c>
      <c r="D406" s="242" t="s">
        <v>1142</v>
      </c>
      <c r="E406" s="453">
        <v>2730000</v>
      </c>
      <c r="F406" s="451">
        <v>2730000</v>
      </c>
      <c r="G406" s="459">
        <f t="shared" si="6"/>
        <v>100</v>
      </c>
    </row>
    <row r="407" spans="1:7">
      <c r="A407" s="241" t="s">
        <v>153</v>
      </c>
      <c r="B407" s="242" t="s">
        <v>1359</v>
      </c>
      <c r="C407" s="242" t="s">
        <v>1197</v>
      </c>
      <c r="D407" s="242" t="s">
        <v>395</v>
      </c>
      <c r="E407" s="453">
        <v>2730000</v>
      </c>
      <c r="F407" s="451">
        <v>2730000</v>
      </c>
      <c r="G407" s="459">
        <f t="shared" si="6"/>
        <v>100</v>
      </c>
    </row>
    <row r="408" spans="1:7" ht="89.25">
      <c r="A408" s="241" t="s">
        <v>1783</v>
      </c>
      <c r="B408" s="242" t="s">
        <v>1665</v>
      </c>
      <c r="C408" s="242"/>
      <c r="D408" s="242"/>
      <c r="E408" s="453">
        <v>1337072.3999999999</v>
      </c>
      <c r="F408" s="451">
        <v>853731.75</v>
      </c>
      <c r="G408" s="459">
        <f t="shared" si="6"/>
        <v>63.85082438318225</v>
      </c>
    </row>
    <row r="409" spans="1:7" ht="25.5">
      <c r="A409" s="241" t="s">
        <v>1319</v>
      </c>
      <c r="B409" s="242" t="s">
        <v>1665</v>
      </c>
      <c r="C409" s="242" t="s">
        <v>1320</v>
      </c>
      <c r="D409" s="242"/>
      <c r="E409" s="453">
        <v>1337072.3999999999</v>
      </c>
      <c r="F409" s="451">
        <v>853731.75</v>
      </c>
      <c r="G409" s="459">
        <f t="shared" si="6"/>
        <v>63.85082438318225</v>
      </c>
    </row>
    <row r="410" spans="1:7" ht="25.5">
      <c r="A410" s="241" t="s">
        <v>1196</v>
      </c>
      <c r="B410" s="242" t="s">
        <v>1665</v>
      </c>
      <c r="C410" s="242" t="s">
        <v>1197</v>
      </c>
      <c r="D410" s="242"/>
      <c r="E410" s="453">
        <v>1337072.3999999999</v>
      </c>
      <c r="F410" s="451">
        <v>853731.75</v>
      </c>
      <c r="G410" s="459">
        <f t="shared" si="6"/>
        <v>63.85082438318225</v>
      </c>
    </row>
    <row r="411" spans="1:7">
      <c r="A411" s="241" t="s">
        <v>140</v>
      </c>
      <c r="B411" s="242" t="s">
        <v>1665</v>
      </c>
      <c r="C411" s="242" t="s">
        <v>1197</v>
      </c>
      <c r="D411" s="242" t="s">
        <v>1142</v>
      </c>
      <c r="E411" s="453">
        <v>1337072.3999999999</v>
      </c>
      <c r="F411" s="451">
        <v>853731.75</v>
      </c>
      <c r="G411" s="459">
        <f t="shared" si="6"/>
        <v>63.85082438318225</v>
      </c>
    </row>
    <row r="412" spans="1:7">
      <c r="A412" s="241" t="s">
        <v>152</v>
      </c>
      <c r="B412" s="242" t="s">
        <v>1665</v>
      </c>
      <c r="C412" s="242" t="s">
        <v>1197</v>
      </c>
      <c r="D412" s="242" t="s">
        <v>408</v>
      </c>
      <c r="E412" s="453">
        <v>1337072.3999999999</v>
      </c>
      <c r="F412" s="451">
        <v>853731.75</v>
      </c>
      <c r="G412" s="459">
        <f t="shared" si="6"/>
        <v>63.85082438318225</v>
      </c>
    </row>
    <row r="413" spans="1:7" ht="89.25">
      <c r="A413" s="241" t="s">
        <v>1771</v>
      </c>
      <c r="B413" s="242" t="s">
        <v>1639</v>
      </c>
      <c r="C413" s="242"/>
      <c r="D413" s="242"/>
      <c r="E413" s="453">
        <v>7018500</v>
      </c>
      <c r="F413" s="451">
        <v>7018500</v>
      </c>
      <c r="G413" s="459">
        <f t="shared" si="6"/>
        <v>100</v>
      </c>
    </row>
    <row r="414" spans="1:7" ht="25.5">
      <c r="A414" s="241" t="s">
        <v>1319</v>
      </c>
      <c r="B414" s="242" t="s">
        <v>1639</v>
      </c>
      <c r="C414" s="242" t="s">
        <v>1320</v>
      </c>
      <c r="D414" s="242"/>
      <c r="E414" s="453">
        <v>7018500</v>
      </c>
      <c r="F414" s="451">
        <v>7018500</v>
      </c>
      <c r="G414" s="459">
        <f t="shared" si="6"/>
        <v>100</v>
      </c>
    </row>
    <row r="415" spans="1:7" ht="25.5">
      <c r="A415" s="241" t="s">
        <v>1196</v>
      </c>
      <c r="B415" s="242" t="s">
        <v>1639</v>
      </c>
      <c r="C415" s="242" t="s">
        <v>1197</v>
      </c>
      <c r="D415" s="242"/>
      <c r="E415" s="453">
        <v>7018500</v>
      </c>
      <c r="F415" s="451">
        <v>7018500</v>
      </c>
      <c r="G415" s="459">
        <f t="shared" si="6"/>
        <v>100</v>
      </c>
    </row>
    <row r="416" spans="1:7">
      <c r="A416" s="241" t="s">
        <v>140</v>
      </c>
      <c r="B416" s="242" t="s">
        <v>1639</v>
      </c>
      <c r="C416" s="242" t="s">
        <v>1197</v>
      </c>
      <c r="D416" s="242" t="s">
        <v>1142</v>
      </c>
      <c r="E416" s="453">
        <v>7018500</v>
      </c>
      <c r="F416" s="451">
        <v>7018500</v>
      </c>
      <c r="G416" s="459">
        <f t="shared" si="6"/>
        <v>100</v>
      </c>
    </row>
    <row r="417" spans="1:7">
      <c r="A417" s="241" t="s">
        <v>153</v>
      </c>
      <c r="B417" s="242" t="s">
        <v>1639</v>
      </c>
      <c r="C417" s="242" t="s">
        <v>1197</v>
      </c>
      <c r="D417" s="242" t="s">
        <v>395</v>
      </c>
      <c r="E417" s="453">
        <v>7018500</v>
      </c>
      <c r="F417" s="451">
        <v>7018500</v>
      </c>
      <c r="G417" s="459">
        <f t="shared" si="6"/>
        <v>100</v>
      </c>
    </row>
    <row r="418" spans="1:7" ht="38.25">
      <c r="A418" s="241" t="s">
        <v>445</v>
      </c>
      <c r="B418" s="242" t="s">
        <v>1134</v>
      </c>
      <c r="C418" s="242"/>
      <c r="D418" s="242"/>
      <c r="E418" s="453">
        <v>15585028</v>
      </c>
      <c r="F418" s="451">
        <v>12560048.189999999</v>
      </c>
      <c r="G418" s="459">
        <f t="shared" si="6"/>
        <v>80.590475615443225</v>
      </c>
    </row>
    <row r="419" spans="1:7" ht="89.25">
      <c r="A419" s="241" t="s">
        <v>421</v>
      </c>
      <c r="B419" s="242" t="s">
        <v>1126</v>
      </c>
      <c r="C419" s="242"/>
      <c r="D419" s="242"/>
      <c r="E419" s="453">
        <v>6786560</v>
      </c>
      <c r="F419" s="451">
        <v>6061057.6200000001</v>
      </c>
      <c r="G419" s="459">
        <f t="shared" si="6"/>
        <v>89.309718325631835</v>
      </c>
    </row>
    <row r="420" spans="1:7" ht="63.75">
      <c r="A420" s="241" t="s">
        <v>1318</v>
      </c>
      <c r="B420" s="242" t="s">
        <v>1126</v>
      </c>
      <c r="C420" s="242" t="s">
        <v>273</v>
      </c>
      <c r="D420" s="242"/>
      <c r="E420" s="453">
        <v>5456957.2199999997</v>
      </c>
      <c r="F420" s="451">
        <v>4795367.7699999996</v>
      </c>
      <c r="G420" s="459">
        <f t="shared" si="6"/>
        <v>87.876220697218514</v>
      </c>
    </row>
    <row r="421" spans="1:7" ht="25.5">
      <c r="A421" s="241" t="s">
        <v>1203</v>
      </c>
      <c r="B421" s="242" t="s">
        <v>1126</v>
      </c>
      <c r="C421" s="242" t="s">
        <v>28</v>
      </c>
      <c r="D421" s="242"/>
      <c r="E421" s="453">
        <v>5456957.2199999997</v>
      </c>
      <c r="F421" s="451">
        <v>4795367.7699999996</v>
      </c>
      <c r="G421" s="459">
        <f t="shared" si="6"/>
        <v>87.876220697218514</v>
      </c>
    </row>
    <row r="422" spans="1:7">
      <c r="A422" s="241" t="s">
        <v>140</v>
      </c>
      <c r="B422" s="242" t="s">
        <v>1126</v>
      </c>
      <c r="C422" s="242" t="s">
        <v>28</v>
      </c>
      <c r="D422" s="242" t="s">
        <v>1142</v>
      </c>
      <c r="E422" s="453">
        <v>5456957.2199999997</v>
      </c>
      <c r="F422" s="451">
        <v>4795367.7699999996</v>
      </c>
      <c r="G422" s="459">
        <f t="shared" si="6"/>
        <v>87.876220697218514</v>
      </c>
    </row>
    <row r="423" spans="1:7">
      <c r="A423" s="241" t="s">
        <v>4</v>
      </c>
      <c r="B423" s="242" t="s">
        <v>1126</v>
      </c>
      <c r="C423" s="242" t="s">
        <v>28</v>
      </c>
      <c r="D423" s="242" t="s">
        <v>420</v>
      </c>
      <c r="E423" s="453">
        <v>5456957.2199999997</v>
      </c>
      <c r="F423" s="451">
        <v>4795367.7700000005</v>
      </c>
      <c r="G423" s="459">
        <f t="shared" si="6"/>
        <v>87.876220697218514</v>
      </c>
    </row>
    <row r="424" spans="1:7" ht="25.5">
      <c r="A424" s="241" t="s">
        <v>1319</v>
      </c>
      <c r="B424" s="242" t="s">
        <v>1126</v>
      </c>
      <c r="C424" s="242" t="s">
        <v>1320</v>
      </c>
      <c r="D424" s="242"/>
      <c r="E424" s="453">
        <v>1329602.78</v>
      </c>
      <c r="F424" s="451">
        <v>1265689.8500000001</v>
      </c>
      <c r="G424" s="459">
        <f t="shared" si="6"/>
        <v>95.193080898943379</v>
      </c>
    </row>
    <row r="425" spans="1:7" ht="25.5">
      <c r="A425" s="241" t="s">
        <v>1196</v>
      </c>
      <c r="B425" s="242" t="s">
        <v>1126</v>
      </c>
      <c r="C425" s="242" t="s">
        <v>1197</v>
      </c>
      <c r="D425" s="242"/>
      <c r="E425" s="453">
        <v>1329602.78</v>
      </c>
      <c r="F425" s="451">
        <v>1265689.8500000001</v>
      </c>
      <c r="G425" s="459">
        <f t="shared" si="6"/>
        <v>95.193080898943379</v>
      </c>
    </row>
    <row r="426" spans="1:7">
      <c r="A426" s="241" t="s">
        <v>140</v>
      </c>
      <c r="B426" s="242" t="s">
        <v>1126</v>
      </c>
      <c r="C426" s="242" t="s">
        <v>1197</v>
      </c>
      <c r="D426" s="242" t="s">
        <v>1142</v>
      </c>
      <c r="E426" s="453">
        <v>1329602.78</v>
      </c>
      <c r="F426" s="451">
        <v>1265689.8500000001</v>
      </c>
      <c r="G426" s="459">
        <f t="shared" si="6"/>
        <v>95.193080898943379</v>
      </c>
    </row>
    <row r="427" spans="1:7">
      <c r="A427" s="241" t="s">
        <v>4</v>
      </c>
      <c r="B427" s="242" t="s">
        <v>1126</v>
      </c>
      <c r="C427" s="242" t="s">
        <v>1197</v>
      </c>
      <c r="D427" s="242" t="s">
        <v>420</v>
      </c>
      <c r="E427" s="453">
        <v>1329602.78</v>
      </c>
      <c r="F427" s="451">
        <v>1265689.8500000001</v>
      </c>
      <c r="G427" s="459">
        <f t="shared" si="6"/>
        <v>95.193080898943379</v>
      </c>
    </row>
    <row r="428" spans="1:7" ht="114.75">
      <c r="A428" s="241" t="s">
        <v>1352</v>
      </c>
      <c r="B428" s="242" t="s">
        <v>1353</v>
      </c>
      <c r="C428" s="242"/>
      <c r="D428" s="242"/>
      <c r="E428" s="453">
        <v>8798468</v>
      </c>
      <c r="F428" s="451">
        <v>6498990.5700000003</v>
      </c>
      <c r="G428" s="459">
        <f t="shared" si="6"/>
        <v>73.865024797498847</v>
      </c>
    </row>
    <row r="429" spans="1:7" ht="63.75">
      <c r="A429" s="241" t="s">
        <v>1318</v>
      </c>
      <c r="B429" s="242" t="s">
        <v>1353</v>
      </c>
      <c r="C429" s="242" t="s">
        <v>273</v>
      </c>
      <c r="D429" s="242"/>
      <c r="E429" s="453">
        <v>239670</v>
      </c>
      <c r="F429" s="451">
        <v>239670</v>
      </c>
      <c r="G429" s="459">
        <f t="shared" si="6"/>
        <v>100</v>
      </c>
    </row>
    <row r="430" spans="1:7" ht="25.5">
      <c r="A430" s="241" t="s">
        <v>1203</v>
      </c>
      <c r="B430" s="242" t="s">
        <v>1353</v>
      </c>
      <c r="C430" s="242" t="s">
        <v>28</v>
      </c>
      <c r="D430" s="242"/>
      <c r="E430" s="453">
        <v>239670</v>
      </c>
      <c r="F430" s="451">
        <v>239670</v>
      </c>
      <c r="G430" s="459">
        <f t="shared" si="6"/>
        <v>100</v>
      </c>
    </row>
    <row r="431" spans="1:7">
      <c r="A431" s="241" t="s">
        <v>141</v>
      </c>
      <c r="B431" s="242" t="s">
        <v>1353</v>
      </c>
      <c r="C431" s="242" t="s">
        <v>28</v>
      </c>
      <c r="D431" s="242" t="s">
        <v>1143</v>
      </c>
      <c r="E431" s="453">
        <v>239670</v>
      </c>
      <c r="F431" s="451">
        <v>239670</v>
      </c>
      <c r="G431" s="459">
        <f t="shared" si="6"/>
        <v>100</v>
      </c>
    </row>
    <row r="432" spans="1:7">
      <c r="A432" s="241" t="s">
        <v>63</v>
      </c>
      <c r="B432" s="242" t="s">
        <v>1353</v>
      </c>
      <c r="C432" s="242" t="s">
        <v>28</v>
      </c>
      <c r="D432" s="242" t="s">
        <v>394</v>
      </c>
      <c r="E432" s="453">
        <v>239670</v>
      </c>
      <c r="F432" s="451">
        <v>239670</v>
      </c>
      <c r="G432" s="459">
        <f t="shared" si="6"/>
        <v>100</v>
      </c>
    </row>
    <row r="433" spans="1:7" ht="25.5">
      <c r="A433" s="241" t="s">
        <v>1319</v>
      </c>
      <c r="B433" s="242" t="s">
        <v>1353</v>
      </c>
      <c r="C433" s="242" t="s">
        <v>1320</v>
      </c>
      <c r="D433" s="242"/>
      <c r="E433" s="453">
        <v>7430</v>
      </c>
      <c r="F433" s="451">
        <v>7430</v>
      </c>
      <c r="G433" s="459">
        <f t="shared" si="6"/>
        <v>100</v>
      </c>
    </row>
    <row r="434" spans="1:7" ht="25.5">
      <c r="A434" s="241" t="s">
        <v>1196</v>
      </c>
      <c r="B434" s="242" t="s">
        <v>1353</v>
      </c>
      <c r="C434" s="242" t="s">
        <v>1197</v>
      </c>
      <c r="D434" s="242"/>
      <c r="E434" s="453">
        <v>7430</v>
      </c>
      <c r="F434" s="451">
        <v>7430</v>
      </c>
      <c r="G434" s="459">
        <f t="shared" si="6"/>
        <v>100</v>
      </c>
    </row>
    <row r="435" spans="1:7">
      <c r="A435" s="241" t="s">
        <v>141</v>
      </c>
      <c r="B435" s="242" t="s">
        <v>1353</v>
      </c>
      <c r="C435" s="242" t="s">
        <v>1197</v>
      </c>
      <c r="D435" s="242" t="s">
        <v>1143</v>
      </c>
      <c r="E435" s="453">
        <v>7430</v>
      </c>
      <c r="F435" s="451">
        <v>7430</v>
      </c>
      <c r="G435" s="459">
        <f t="shared" si="6"/>
        <v>100</v>
      </c>
    </row>
    <row r="436" spans="1:7">
      <c r="A436" s="241" t="s">
        <v>63</v>
      </c>
      <c r="B436" s="242" t="s">
        <v>1353</v>
      </c>
      <c r="C436" s="242" t="s">
        <v>1197</v>
      </c>
      <c r="D436" s="242" t="s">
        <v>394</v>
      </c>
      <c r="E436" s="453">
        <v>7430</v>
      </c>
      <c r="F436" s="451">
        <v>7430</v>
      </c>
      <c r="G436" s="459">
        <f t="shared" si="6"/>
        <v>100</v>
      </c>
    </row>
    <row r="437" spans="1:7" ht="25.5">
      <c r="A437" s="241" t="s">
        <v>1325</v>
      </c>
      <c r="B437" s="242" t="s">
        <v>1353</v>
      </c>
      <c r="C437" s="242" t="s">
        <v>1326</v>
      </c>
      <c r="D437" s="242"/>
      <c r="E437" s="453">
        <v>8551368</v>
      </c>
      <c r="F437" s="451">
        <v>6251890.5700000003</v>
      </c>
      <c r="G437" s="459">
        <f t="shared" si="6"/>
        <v>73.10982956177304</v>
      </c>
    </row>
    <row r="438" spans="1:7">
      <c r="A438" s="241" t="s">
        <v>1207</v>
      </c>
      <c r="B438" s="242" t="s">
        <v>1353</v>
      </c>
      <c r="C438" s="242" t="s">
        <v>75</v>
      </c>
      <c r="D438" s="242"/>
      <c r="E438" s="453">
        <v>8551368</v>
      </c>
      <c r="F438" s="451">
        <v>6251890.5700000003</v>
      </c>
      <c r="G438" s="459">
        <f t="shared" si="6"/>
        <v>73.10982956177304</v>
      </c>
    </row>
    <row r="439" spans="1:7">
      <c r="A439" s="241" t="s">
        <v>141</v>
      </c>
      <c r="B439" s="242" t="s">
        <v>1353</v>
      </c>
      <c r="C439" s="242" t="s">
        <v>75</v>
      </c>
      <c r="D439" s="242" t="s">
        <v>1143</v>
      </c>
      <c r="E439" s="453">
        <v>8551368</v>
      </c>
      <c r="F439" s="451">
        <v>6251890.5700000003</v>
      </c>
      <c r="G439" s="459">
        <f t="shared" si="6"/>
        <v>73.10982956177304</v>
      </c>
    </row>
    <row r="440" spans="1:7">
      <c r="A440" s="241" t="s">
        <v>98</v>
      </c>
      <c r="B440" s="242" t="s">
        <v>1353</v>
      </c>
      <c r="C440" s="242" t="s">
        <v>75</v>
      </c>
      <c r="D440" s="242" t="s">
        <v>378</v>
      </c>
      <c r="E440" s="453">
        <v>8551368</v>
      </c>
      <c r="F440" s="451">
        <v>6251890.5700000003</v>
      </c>
      <c r="G440" s="459">
        <f t="shared" si="6"/>
        <v>73.10982956177304</v>
      </c>
    </row>
    <row r="441" spans="1:7" ht="25.5">
      <c r="A441" s="241" t="s">
        <v>615</v>
      </c>
      <c r="B441" s="242" t="s">
        <v>973</v>
      </c>
      <c r="C441" s="242"/>
      <c r="D441" s="242"/>
      <c r="E441" s="453">
        <v>98186676.739999995</v>
      </c>
      <c r="F441" s="451">
        <v>97047461.180000007</v>
      </c>
      <c r="G441" s="459">
        <f t="shared" si="6"/>
        <v>98.839745271126091</v>
      </c>
    </row>
    <row r="442" spans="1:7" ht="89.25">
      <c r="A442" s="241" t="s">
        <v>2100</v>
      </c>
      <c r="B442" s="242" t="s">
        <v>2101</v>
      </c>
      <c r="C442" s="242"/>
      <c r="D442" s="242"/>
      <c r="E442" s="453">
        <v>5095210</v>
      </c>
      <c r="F442" s="451">
        <v>5094578.34</v>
      </c>
      <c r="G442" s="459">
        <f t="shared" si="6"/>
        <v>99.987602866221408</v>
      </c>
    </row>
    <row r="443" spans="1:7" ht="63.75">
      <c r="A443" s="241" t="s">
        <v>1318</v>
      </c>
      <c r="B443" s="242" t="s">
        <v>2101</v>
      </c>
      <c r="C443" s="242" t="s">
        <v>273</v>
      </c>
      <c r="D443" s="242"/>
      <c r="E443" s="453">
        <v>5095210</v>
      </c>
      <c r="F443" s="451">
        <v>5094578.34</v>
      </c>
      <c r="G443" s="459">
        <f t="shared" si="6"/>
        <v>99.987602866221408</v>
      </c>
    </row>
    <row r="444" spans="1:7">
      <c r="A444" s="241" t="s">
        <v>1190</v>
      </c>
      <c r="B444" s="242" t="s">
        <v>2101</v>
      </c>
      <c r="C444" s="242" t="s">
        <v>133</v>
      </c>
      <c r="D444" s="242"/>
      <c r="E444" s="453">
        <v>4778160</v>
      </c>
      <c r="F444" s="451">
        <v>4777528.34</v>
      </c>
      <c r="G444" s="459">
        <f t="shared" si="6"/>
        <v>99.98678026688097</v>
      </c>
    </row>
    <row r="445" spans="1:7">
      <c r="A445" s="241" t="s">
        <v>140</v>
      </c>
      <c r="B445" s="242" t="s">
        <v>2101</v>
      </c>
      <c r="C445" s="242" t="s">
        <v>133</v>
      </c>
      <c r="D445" s="242" t="s">
        <v>1142</v>
      </c>
      <c r="E445" s="453">
        <v>4778160</v>
      </c>
      <c r="F445" s="451">
        <v>4777528.34</v>
      </c>
      <c r="G445" s="459">
        <f t="shared" si="6"/>
        <v>99.98678026688097</v>
      </c>
    </row>
    <row r="446" spans="1:7">
      <c r="A446" s="241" t="s">
        <v>4</v>
      </c>
      <c r="B446" s="242" t="s">
        <v>2101</v>
      </c>
      <c r="C446" s="242" t="s">
        <v>133</v>
      </c>
      <c r="D446" s="242" t="s">
        <v>420</v>
      </c>
      <c r="E446" s="453">
        <v>4778160</v>
      </c>
      <c r="F446" s="451">
        <v>4777528.34</v>
      </c>
      <c r="G446" s="459">
        <f t="shared" si="6"/>
        <v>99.98678026688097</v>
      </c>
    </row>
    <row r="447" spans="1:7" ht="25.5">
      <c r="A447" s="241" t="s">
        <v>1203</v>
      </c>
      <c r="B447" s="242" t="s">
        <v>2101</v>
      </c>
      <c r="C447" s="242" t="s">
        <v>28</v>
      </c>
      <c r="D447" s="242"/>
      <c r="E447" s="453">
        <v>317050</v>
      </c>
      <c r="F447" s="451">
        <v>317050</v>
      </c>
      <c r="G447" s="459">
        <f t="shared" si="6"/>
        <v>100</v>
      </c>
    </row>
    <row r="448" spans="1:7">
      <c r="A448" s="241" t="s">
        <v>140</v>
      </c>
      <c r="B448" s="242" t="s">
        <v>2101</v>
      </c>
      <c r="C448" s="242" t="s">
        <v>28</v>
      </c>
      <c r="D448" s="242" t="s">
        <v>1142</v>
      </c>
      <c r="E448" s="453">
        <v>317050</v>
      </c>
      <c r="F448" s="451">
        <v>317050</v>
      </c>
      <c r="G448" s="459">
        <f t="shared" si="6"/>
        <v>100</v>
      </c>
    </row>
    <row r="449" spans="1:7">
      <c r="A449" s="241" t="s">
        <v>4</v>
      </c>
      <c r="B449" s="242" t="s">
        <v>2101</v>
      </c>
      <c r="C449" s="242" t="s">
        <v>28</v>
      </c>
      <c r="D449" s="242" t="s">
        <v>420</v>
      </c>
      <c r="E449" s="453">
        <v>317050</v>
      </c>
      <c r="F449" s="451">
        <v>317050</v>
      </c>
      <c r="G449" s="459">
        <f t="shared" si="6"/>
        <v>100</v>
      </c>
    </row>
    <row r="450" spans="1:7" ht="76.5">
      <c r="A450" s="241" t="s">
        <v>609</v>
      </c>
      <c r="B450" s="242" t="s">
        <v>1127</v>
      </c>
      <c r="C450" s="242"/>
      <c r="D450" s="242"/>
      <c r="E450" s="453">
        <v>51015233.399999999</v>
      </c>
      <c r="F450" s="451">
        <v>50897427.149999999</v>
      </c>
      <c r="G450" s="459">
        <f t="shared" si="6"/>
        <v>99.769076328483493</v>
      </c>
    </row>
    <row r="451" spans="1:7" ht="63.75">
      <c r="A451" s="241" t="s">
        <v>1318</v>
      </c>
      <c r="B451" s="242" t="s">
        <v>1127</v>
      </c>
      <c r="C451" s="242" t="s">
        <v>273</v>
      </c>
      <c r="D451" s="242"/>
      <c r="E451" s="453">
        <v>47330955.539999999</v>
      </c>
      <c r="F451" s="451">
        <v>47319480.579999998</v>
      </c>
      <c r="G451" s="459">
        <f t="shared" si="6"/>
        <v>99.975755908856939</v>
      </c>
    </row>
    <row r="452" spans="1:7">
      <c r="A452" s="241" t="s">
        <v>1190</v>
      </c>
      <c r="B452" s="242" t="s">
        <v>1127</v>
      </c>
      <c r="C452" s="242" t="s">
        <v>133</v>
      </c>
      <c r="D452" s="242"/>
      <c r="E452" s="453">
        <v>47330955.539999999</v>
      </c>
      <c r="F452" s="451">
        <v>47319480.579999998</v>
      </c>
      <c r="G452" s="459">
        <f t="shared" si="6"/>
        <v>99.975755908856939</v>
      </c>
    </row>
    <row r="453" spans="1:7">
      <c r="A453" s="241" t="s">
        <v>140</v>
      </c>
      <c r="B453" s="242" t="s">
        <v>1127</v>
      </c>
      <c r="C453" s="242" t="s">
        <v>133</v>
      </c>
      <c r="D453" s="242" t="s">
        <v>1142</v>
      </c>
      <c r="E453" s="453">
        <v>47330955.539999999</v>
      </c>
      <c r="F453" s="451">
        <v>47319480.579999998</v>
      </c>
      <c r="G453" s="459">
        <f t="shared" si="6"/>
        <v>99.975755908856939</v>
      </c>
    </row>
    <row r="454" spans="1:7">
      <c r="A454" s="241" t="s">
        <v>4</v>
      </c>
      <c r="B454" s="242" t="s">
        <v>1127</v>
      </c>
      <c r="C454" s="242" t="s">
        <v>133</v>
      </c>
      <c r="D454" s="242" t="s">
        <v>420</v>
      </c>
      <c r="E454" s="453">
        <v>47330955.540000007</v>
      </c>
      <c r="F454" s="451">
        <v>47319480.579999998</v>
      </c>
      <c r="G454" s="459">
        <f t="shared" si="6"/>
        <v>99.975755908856925</v>
      </c>
    </row>
    <row r="455" spans="1:7" ht="25.5">
      <c r="A455" s="241" t="s">
        <v>1319</v>
      </c>
      <c r="B455" s="242" t="s">
        <v>1127</v>
      </c>
      <c r="C455" s="242" t="s">
        <v>1320</v>
      </c>
      <c r="D455" s="242"/>
      <c r="E455" s="453">
        <v>3682652.91</v>
      </c>
      <c r="F455" s="451">
        <v>3576321.62</v>
      </c>
      <c r="G455" s="459">
        <f t="shared" ref="G455:G518" si="7">F455/E455*100</f>
        <v>97.112644264919339</v>
      </c>
    </row>
    <row r="456" spans="1:7" ht="25.5">
      <c r="A456" s="241" t="s">
        <v>1196</v>
      </c>
      <c r="B456" s="242" t="s">
        <v>1127</v>
      </c>
      <c r="C456" s="242" t="s">
        <v>1197</v>
      </c>
      <c r="D456" s="242"/>
      <c r="E456" s="453">
        <v>3682652.91</v>
      </c>
      <c r="F456" s="451">
        <v>3576321.62</v>
      </c>
      <c r="G456" s="459">
        <f t="shared" si="7"/>
        <v>97.112644264919339</v>
      </c>
    </row>
    <row r="457" spans="1:7">
      <c r="A457" s="241" t="s">
        <v>140</v>
      </c>
      <c r="B457" s="242" t="s">
        <v>1127</v>
      </c>
      <c r="C457" s="242" t="s">
        <v>1197</v>
      </c>
      <c r="D457" s="242" t="s">
        <v>1142</v>
      </c>
      <c r="E457" s="453">
        <v>3682652.91</v>
      </c>
      <c r="F457" s="451">
        <v>3576321.62</v>
      </c>
      <c r="G457" s="459">
        <f t="shared" si="7"/>
        <v>97.112644264919339</v>
      </c>
    </row>
    <row r="458" spans="1:7">
      <c r="A458" s="241" t="s">
        <v>4</v>
      </c>
      <c r="B458" s="242" t="s">
        <v>1127</v>
      </c>
      <c r="C458" s="242" t="s">
        <v>1197</v>
      </c>
      <c r="D458" s="242" t="s">
        <v>420</v>
      </c>
      <c r="E458" s="453">
        <v>3682652.91</v>
      </c>
      <c r="F458" s="451">
        <v>3576321.62</v>
      </c>
      <c r="G458" s="459">
        <f t="shared" si="7"/>
        <v>97.112644264919339</v>
      </c>
    </row>
    <row r="459" spans="1:7">
      <c r="A459" s="241" t="s">
        <v>1321</v>
      </c>
      <c r="B459" s="242" t="s">
        <v>1127</v>
      </c>
      <c r="C459" s="242" t="s">
        <v>1322</v>
      </c>
      <c r="D459" s="242"/>
      <c r="E459" s="453">
        <v>1624.95</v>
      </c>
      <c r="F459" s="451">
        <v>1624.95</v>
      </c>
      <c r="G459" s="459">
        <f t="shared" si="7"/>
        <v>100</v>
      </c>
    </row>
    <row r="460" spans="1:7">
      <c r="A460" s="241" t="s">
        <v>1201</v>
      </c>
      <c r="B460" s="242" t="s">
        <v>1127</v>
      </c>
      <c r="C460" s="242" t="s">
        <v>1202</v>
      </c>
      <c r="D460" s="242"/>
      <c r="E460" s="453">
        <v>1624.95</v>
      </c>
      <c r="F460" s="451">
        <v>1624.95</v>
      </c>
      <c r="G460" s="459">
        <f t="shared" si="7"/>
        <v>100</v>
      </c>
    </row>
    <row r="461" spans="1:7">
      <c r="A461" s="241" t="s">
        <v>140</v>
      </c>
      <c r="B461" s="242" t="s">
        <v>1127</v>
      </c>
      <c r="C461" s="242" t="s">
        <v>1202</v>
      </c>
      <c r="D461" s="242" t="s">
        <v>1142</v>
      </c>
      <c r="E461" s="453">
        <v>1624.95</v>
      </c>
      <c r="F461" s="451">
        <v>1624.95</v>
      </c>
      <c r="G461" s="459">
        <f t="shared" si="7"/>
        <v>100</v>
      </c>
    </row>
    <row r="462" spans="1:7">
      <c r="A462" s="241" t="s">
        <v>4</v>
      </c>
      <c r="B462" s="242" t="s">
        <v>1127</v>
      </c>
      <c r="C462" s="242" t="s">
        <v>1202</v>
      </c>
      <c r="D462" s="242" t="s">
        <v>420</v>
      </c>
      <c r="E462" s="453">
        <v>1624.95</v>
      </c>
      <c r="F462" s="451">
        <v>1624.95</v>
      </c>
      <c r="G462" s="459">
        <f t="shared" si="7"/>
        <v>100</v>
      </c>
    </row>
    <row r="463" spans="1:7" ht="89.25">
      <c r="A463" s="241" t="s">
        <v>610</v>
      </c>
      <c r="B463" s="242" t="s">
        <v>1133</v>
      </c>
      <c r="C463" s="242"/>
      <c r="D463" s="242"/>
      <c r="E463" s="453">
        <v>1064010</v>
      </c>
      <c r="F463" s="451">
        <v>1063338.2</v>
      </c>
      <c r="G463" s="459">
        <f t="shared" si="7"/>
        <v>99.936861495662626</v>
      </c>
    </row>
    <row r="464" spans="1:7" ht="63.75">
      <c r="A464" s="241" t="s">
        <v>1318</v>
      </c>
      <c r="B464" s="242" t="s">
        <v>1133</v>
      </c>
      <c r="C464" s="242" t="s">
        <v>273</v>
      </c>
      <c r="D464" s="242"/>
      <c r="E464" s="453">
        <v>1064010</v>
      </c>
      <c r="F464" s="451">
        <v>1063338.2</v>
      </c>
      <c r="G464" s="459">
        <f t="shared" si="7"/>
        <v>99.936861495662626</v>
      </c>
    </row>
    <row r="465" spans="1:7">
      <c r="A465" s="241" t="s">
        <v>1190</v>
      </c>
      <c r="B465" s="242" t="s">
        <v>1133</v>
      </c>
      <c r="C465" s="242" t="s">
        <v>133</v>
      </c>
      <c r="D465" s="242"/>
      <c r="E465" s="453">
        <v>1064010</v>
      </c>
      <c r="F465" s="451">
        <v>1063338.2</v>
      </c>
      <c r="G465" s="459">
        <f t="shared" si="7"/>
        <v>99.936861495662626</v>
      </c>
    </row>
    <row r="466" spans="1:7">
      <c r="A466" s="241" t="s">
        <v>140</v>
      </c>
      <c r="B466" s="242" t="s">
        <v>1133</v>
      </c>
      <c r="C466" s="242" t="s">
        <v>133</v>
      </c>
      <c r="D466" s="242" t="s">
        <v>1142</v>
      </c>
      <c r="E466" s="453">
        <v>1064010</v>
      </c>
      <c r="F466" s="451">
        <v>1063338.2</v>
      </c>
      <c r="G466" s="459">
        <f t="shared" si="7"/>
        <v>99.936861495662626</v>
      </c>
    </row>
    <row r="467" spans="1:7">
      <c r="A467" s="241" t="s">
        <v>4</v>
      </c>
      <c r="B467" s="242" t="s">
        <v>1133</v>
      </c>
      <c r="C467" s="242" t="s">
        <v>133</v>
      </c>
      <c r="D467" s="242" t="s">
        <v>420</v>
      </c>
      <c r="E467" s="453">
        <v>1064010</v>
      </c>
      <c r="F467" s="451">
        <v>1063338.2</v>
      </c>
      <c r="G467" s="459">
        <f t="shared" si="7"/>
        <v>99.936861495662626</v>
      </c>
    </row>
    <row r="468" spans="1:7" ht="102">
      <c r="A468" s="241" t="s">
        <v>622</v>
      </c>
      <c r="B468" s="242" t="s">
        <v>1128</v>
      </c>
      <c r="C468" s="242"/>
      <c r="D468" s="242"/>
      <c r="E468" s="453">
        <v>28272535</v>
      </c>
      <c r="F468" s="451">
        <v>28231887.550000001</v>
      </c>
      <c r="G468" s="459">
        <f t="shared" si="7"/>
        <v>99.856229906515281</v>
      </c>
    </row>
    <row r="469" spans="1:7" ht="63.75">
      <c r="A469" s="241" t="s">
        <v>1318</v>
      </c>
      <c r="B469" s="242" t="s">
        <v>1128</v>
      </c>
      <c r="C469" s="242" t="s">
        <v>273</v>
      </c>
      <c r="D469" s="242"/>
      <c r="E469" s="453">
        <v>28272535</v>
      </c>
      <c r="F469" s="451">
        <v>28231887.550000001</v>
      </c>
      <c r="G469" s="459">
        <f t="shared" si="7"/>
        <v>99.856229906515281</v>
      </c>
    </row>
    <row r="470" spans="1:7">
      <c r="A470" s="241" t="s">
        <v>1190</v>
      </c>
      <c r="B470" s="242" t="s">
        <v>1128</v>
      </c>
      <c r="C470" s="242" t="s">
        <v>133</v>
      </c>
      <c r="D470" s="242"/>
      <c r="E470" s="453">
        <v>28272535</v>
      </c>
      <c r="F470" s="451">
        <v>28231887.550000001</v>
      </c>
      <c r="G470" s="459">
        <f t="shared" si="7"/>
        <v>99.856229906515281</v>
      </c>
    </row>
    <row r="471" spans="1:7">
      <c r="A471" s="241" t="s">
        <v>140</v>
      </c>
      <c r="B471" s="242" t="s">
        <v>1128</v>
      </c>
      <c r="C471" s="242" t="s">
        <v>133</v>
      </c>
      <c r="D471" s="242" t="s">
        <v>1142</v>
      </c>
      <c r="E471" s="453">
        <v>28272535</v>
      </c>
      <c r="F471" s="451">
        <v>28231887.550000001</v>
      </c>
      <c r="G471" s="459">
        <f t="shared" si="7"/>
        <v>99.856229906515281</v>
      </c>
    </row>
    <row r="472" spans="1:7">
      <c r="A472" s="241" t="s">
        <v>4</v>
      </c>
      <c r="B472" s="242" t="s">
        <v>1128</v>
      </c>
      <c r="C472" s="242" t="s">
        <v>133</v>
      </c>
      <c r="D472" s="242" t="s">
        <v>420</v>
      </c>
      <c r="E472" s="453">
        <v>28272535</v>
      </c>
      <c r="F472" s="451">
        <v>28231887.549999997</v>
      </c>
      <c r="G472" s="459">
        <f t="shared" si="7"/>
        <v>99.856229906515267</v>
      </c>
    </row>
    <row r="473" spans="1:7" ht="89.25">
      <c r="A473" s="241" t="s">
        <v>2256</v>
      </c>
      <c r="B473" s="242" t="s">
        <v>2257</v>
      </c>
      <c r="C473" s="242"/>
      <c r="D473" s="242"/>
      <c r="E473" s="453">
        <v>900000</v>
      </c>
      <c r="F473" s="451">
        <v>0</v>
      </c>
      <c r="G473" s="459">
        <f t="shared" si="7"/>
        <v>0</v>
      </c>
    </row>
    <row r="474" spans="1:7" ht="25.5">
      <c r="A474" s="241" t="s">
        <v>1319</v>
      </c>
      <c r="B474" s="242" t="s">
        <v>2257</v>
      </c>
      <c r="C474" s="242" t="s">
        <v>1320</v>
      </c>
      <c r="D474" s="242"/>
      <c r="E474" s="453">
        <v>900000</v>
      </c>
      <c r="F474" s="451">
        <v>0</v>
      </c>
      <c r="G474" s="459">
        <f t="shared" si="7"/>
        <v>0</v>
      </c>
    </row>
    <row r="475" spans="1:7" ht="25.5">
      <c r="A475" s="241" t="s">
        <v>1196</v>
      </c>
      <c r="B475" s="242" t="s">
        <v>2257</v>
      </c>
      <c r="C475" s="242" t="s">
        <v>1197</v>
      </c>
      <c r="D475" s="242"/>
      <c r="E475" s="453">
        <v>900000</v>
      </c>
      <c r="F475" s="451">
        <v>0</v>
      </c>
      <c r="G475" s="459">
        <f t="shared" si="7"/>
        <v>0</v>
      </c>
    </row>
    <row r="476" spans="1:7">
      <c r="A476" s="241" t="s">
        <v>140</v>
      </c>
      <c r="B476" s="242" t="s">
        <v>2257</v>
      </c>
      <c r="C476" s="242" t="s">
        <v>1197</v>
      </c>
      <c r="D476" s="242" t="s">
        <v>1142</v>
      </c>
      <c r="E476" s="453">
        <v>900000</v>
      </c>
      <c r="F476" s="451">
        <v>0</v>
      </c>
      <c r="G476" s="459">
        <f t="shared" si="7"/>
        <v>0</v>
      </c>
    </row>
    <row r="477" spans="1:7">
      <c r="A477" s="241" t="s">
        <v>4</v>
      </c>
      <c r="B477" s="242" t="s">
        <v>2257</v>
      </c>
      <c r="C477" s="242" t="s">
        <v>1197</v>
      </c>
      <c r="D477" s="242" t="s">
        <v>420</v>
      </c>
      <c r="E477" s="453">
        <v>900000</v>
      </c>
      <c r="F477" s="451">
        <v>0</v>
      </c>
      <c r="G477" s="459">
        <f t="shared" si="7"/>
        <v>0</v>
      </c>
    </row>
    <row r="478" spans="1:7" ht="76.5">
      <c r="A478" s="241" t="s">
        <v>611</v>
      </c>
      <c r="B478" s="242" t="s">
        <v>1129</v>
      </c>
      <c r="C478" s="242"/>
      <c r="D478" s="242"/>
      <c r="E478" s="453">
        <v>383338.99</v>
      </c>
      <c r="F478" s="451">
        <v>383338.99</v>
      </c>
      <c r="G478" s="459">
        <f t="shared" si="7"/>
        <v>100</v>
      </c>
    </row>
    <row r="479" spans="1:7" ht="63.75">
      <c r="A479" s="241" t="s">
        <v>1318</v>
      </c>
      <c r="B479" s="242" t="s">
        <v>1129</v>
      </c>
      <c r="C479" s="242" t="s">
        <v>273</v>
      </c>
      <c r="D479" s="242"/>
      <c r="E479" s="453">
        <v>383338.99</v>
      </c>
      <c r="F479" s="451">
        <v>383338.99</v>
      </c>
      <c r="G479" s="459">
        <f t="shared" si="7"/>
        <v>100</v>
      </c>
    </row>
    <row r="480" spans="1:7">
      <c r="A480" s="241" t="s">
        <v>1190</v>
      </c>
      <c r="B480" s="242" t="s">
        <v>1129</v>
      </c>
      <c r="C480" s="242" t="s">
        <v>133</v>
      </c>
      <c r="D480" s="242"/>
      <c r="E480" s="453">
        <v>383338.99</v>
      </c>
      <c r="F480" s="451">
        <v>383338.99</v>
      </c>
      <c r="G480" s="459">
        <f t="shared" si="7"/>
        <v>100</v>
      </c>
    </row>
    <row r="481" spans="1:7">
      <c r="A481" s="241" t="s">
        <v>140</v>
      </c>
      <c r="B481" s="242" t="s">
        <v>1129</v>
      </c>
      <c r="C481" s="242" t="s">
        <v>133</v>
      </c>
      <c r="D481" s="242" t="s">
        <v>1142</v>
      </c>
      <c r="E481" s="453">
        <v>383338.99</v>
      </c>
      <c r="F481" s="451">
        <v>383338.99</v>
      </c>
      <c r="G481" s="459">
        <f t="shared" si="7"/>
        <v>100</v>
      </c>
    </row>
    <row r="482" spans="1:7">
      <c r="A482" s="241" t="s">
        <v>4</v>
      </c>
      <c r="B482" s="242" t="s">
        <v>1129</v>
      </c>
      <c r="C482" s="242" t="s">
        <v>133</v>
      </c>
      <c r="D482" s="242" t="s">
        <v>420</v>
      </c>
      <c r="E482" s="453">
        <v>383338.99</v>
      </c>
      <c r="F482" s="451">
        <v>383338.99</v>
      </c>
      <c r="G482" s="459">
        <f t="shared" si="7"/>
        <v>100</v>
      </c>
    </row>
    <row r="483" spans="1:7" ht="63.75">
      <c r="A483" s="241" t="s">
        <v>612</v>
      </c>
      <c r="B483" s="242" t="s">
        <v>1130</v>
      </c>
      <c r="C483" s="242"/>
      <c r="D483" s="242"/>
      <c r="E483" s="453">
        <v>94289.15</v>
      </c>
      <c r="F483" s="451">
        <v>93624.11</v>
      </c>
      <c r="G483" s="459">
        <f t="shared" si="7"/>
        <v>99.294680246878883</v>
      </c>
    </row>
    <row r="484" spans="1:7" ht="25.5">
      <c r="A484" s="241" t="s">
        <v>1319</v>
      </c>
      <c r="B484" s="242" t="s">
        <v>1130</v>
      </c>
      <c r="C484" s="242" t="s">
        <v>1320</v>
      </c>
      <c r="D484" s="242"/>
      <c r="E484" s="453">
        <v>94289.15</v>
      </c>
      <c r="F484" s="451">
        <v>93624.11</v>
      </c>
      <c r="G484" s="459">
        <f t="shared" si="7"/>
        <v>99.294680246878883</v>
      </c>
    </row>
    <row r="485" spans="1:7" ht="25.5">
      <c r="A485" s="241" t="s">
        <v>1196</v>
      </c>
      <c r="B485" s="242" t="s">
        <v>1130</v>
      </c>
      <c r="C485" s="242" t="s">
        <v>1197</v>
      </c>
      <c r="D485" s="242"/>
      <c r="E485" s="453">
        <v>94289.15</v>
      </c>
      <c r="F485" s="451">
        <v>93624.11</v>
      </c>
      <c r="G485" s="459">
        <f t="shared" si="7"/>
        <v>99.294680246878883</v>
      </c>
    </row>
    <row r="486" spans="1:7">
      <c r="A486" s="241" t="s">
        <v>140</v>
      </c>
      <c r="B486" s="242" t="s">
        <v>1130</v>
      </c>
      <c r="C486" s="242" t="s">
        <v>1197</v>
      </c>
      <c r="D486" s="242" t="s">
        <v>1142</v>
      </c>
      <c r="E486" s="453">
        <v>94289.15</v>
      </c>
      <c r="F486" s="451">
        <v>93624.11</v>
      </c>
      <c r="G486" s="459">
        <f t="shared" si="7"/>
        <v>99.294680246878883</v>
      </c>
    </row>
    <row r="487" spans="1:7">
      <c r="A487" s="241" t="s">
        <v>4</v>
      </c>
      <c r="B487" s="242" t="s">
        <v>1130</v>
      </c>
      <c r="C487" s="242" t="s">
        <v>1197</v>
      </c>
      <c r="D487" s="242" t="s">
        <v>420</v>
      </c>
      <c r="E487" s="453">
        <v>94289.15</v>
      </c>
      <c r="F487" s="451">
        <v>93624.11</v>
      </c>
      <c r="G487" s="459">
        <f t="shared" si="7"/>
        <v>99.294680246878883</v>
      </c>
    </row>
    <row r="488" spans="1:7" ht="76.5">
      <c r="A488" s="241" t="s">
        <v>2155</v>
      </c>
      <c r="B488" s="242" t="s">
        <v>2156</v>
      </c>
      <c r="C488" s="242"/>
      <c r="D488" s="242"/>
      <c r="E488" s="453">
        <v>2860</v>
      </c>
      <c r="F488" s="451">
        <v>2860</v>
      </c>
      <c r="G488" s="459">
        <f t="shared" si="7"/>
        <v>100</v>
      </c>
    </row>
    <row r="489" spans="1:7" ht="25.5">
      <c r="A489" s="241" t="s">
        <v>1319</v>
      </c>
      <c r="B489" s="242" t="s">
        <v>2156</v>
      </c>
      <c r="C489" s="242" t="s">
        <v>1320</v>
      </c>
      <c r="D489" s="242"/>
      <c r="E489" s="453">
        <v>2860</v>
      </c>
      <c r="F489" s="451">
        <v>2860</v>
      </c>
      <c r="G489" s="459">
        <f t="shared" si="7"/>
        <v>100</v>
      </c>
    </row>
    <row r="490" spans="1:7" ht="25.5">
      <c r="A490" s="241" t="s">
        <v>1196</v>
      </c>
      <c r="B490" s="242" t="s">
        <v>2156</v>
      </c>
      <c r="C490" s="242" t="s">
        <v>1197</v>
      </c>
      <c r="D490" s="242"/>
      <c r="E490" s="453">
        <v>2860</v>
      </c>
      <c r="F490" s="451">
        <v>2860</v>
      </c>
      <c r="G490" s="459">
        <f t="shared" si="7"/>
        <v>100</v>
      </c>
    </row>
    <row r="491" spans="1:7">
      <c r="A491" s="241" t="s">
        <v>140</v>
      </c>
      <c r="B491" s="242" t="s">
        <v>2156</v>
      </c>
      <c r="C491" s="242" t="s">
        <v>1197</v>
      </c>
      <c r="D491" s="242" t="s">
        <v>1142</v>
      </c>
      <c r="E491" s="453">
        <v>2860</v>
      </c>
      <c r="F491" s="451">
        <v>2860</v>
      </c>
      <c r="G491" s="459">
        <f t="shared" si="7"/>
        <v>100</v>
      </c>
    </row>
    <row r="492" spans="1:7">
      <c r="A492" s="241" t="s">
        <v>4</v>
      </c>
      <c r="B492" s="242" t="s">
        <v>2156</v>
      </c>
      <c r="C492" s="242" t="s">
        <v>1197</v>
      </c>
      <c r="D492" s="242" t="s">
        <v>420</v>
      </c>
      <c r="E492" s="453">
        <v>2860</v>
      </c>
      <c r="F492" s="451">
        <v>2860</v>
      </c>
      <c r="G492" s="459">
        <f t="shared" si="7"/>
        <v>100</v>
      </c>
    </row>
    <row r="493" spans="1:7" ht="63.75">
      <c r="A493" s="241" t="s">
        <v>968</v>
      </c>
      <c r="B493" s="242" t="s">
        <v>1153</v>
      </c>
      <c r="C493" s="242"/>
      <c r="D493" s="242"/>
      <c r="E493" s="453">
        <v>3131458.72</v>
      </c>
      <c r="F493" s="451">
        <v>3131456.05</v>
      </c>
      <c r="G493" s="459">
        <f t="shared" si="7"/>
        <v>99.999914736222337</v>
      </c>
    </row>
    <row r="494" spans="1:7" ht="25.5">
      <c r="A494" s="241" t="s">
        <v>1319</v>
      </c>
      <c r="B494" s="242" t="s">
        <v>1153</v>
      </c>
      <c r="C494" s="242" t="s">
        <v>1320</v>
      </c>
      <c r="D494" s="242"/>
      <c r="E494" s="453">
        <v>3131458.72</v>
      </c>
      <c r="F494" s="451">
        <v>3131456.05</v>
      </c>
      <c r="G494" s="459">
        <f t="shared" si="7"/>
        <v>99.999914736222337</v>
      </c>
    </row>
    <row r="495" spans="1:7" ht="25.5">
      <c r="A495" s="241" t="s">
        <v>1196</v>
      </c>
      <c r="B495" s="242" t="s">
        <v>1153</v>
      </c>
      <c r="C495" s="242" t="s">
        <v>1197</v>
      </c>
      <c r="D495" s="242"/>
      <c r="E495" s="453">
        <v>3131458.72</v>
      </c>
      <c r="F495" s="451">
        <v>3131456.05</v>
      </c>
      <c r="G495" s="459">
        <f t="shared" si="7"/>
        <v>99.999914736222337</v>
      </c>
    </row>
    <row r="496" spans="1:7">
      <c r="A496" s="241" t="s">
        <v>140</v>
      </c>
      <c r="B496" s="242" t="s">
        <v>1153</v>
      </c>
      <c r="C496" s="242" t="s">
        <v>1197</v>
      </c>
      <c r="D496" s="242" t="s">
        <v>1142</v>
      </c>
      <c r="E496" s="453">
        <v>3131458.72</v>
      </c>
      <c r="F496" s="451">
        <v>3131456.05</v>
      </c>
      <c r="G496" s="459">
        <f t="shared" si="7"/>
        <v>99.999914736222337</v>
      </c>
    </row>
    <row r="497" spans="1:7">
      <c r="A497" s="241" t="s">
        <v>4</v>
      </c>
      <c r="B497" s="242" t="s">
        <v>1153</v>
      </c>
      <c r="C497" s="242" t="s">
        <v>1197</v>
      </c>
      <c r="D497" s="242" t="s">
        <v>420</v>
      </c>
      <c r="E497" s="453">
        <v>3131458.72</v>
      </c>
      <c r="F497" s="451">
        <v>3131456.05</v>
      </c>
      <c r="G497" s="459">
        <f t="shared" si="7"/>
        <v>99.999914736222337</v>
      </c>
    </row>
    <row r="498" spans="1:7" ht="76.5">
      <c r="A498" s="241" t="s">
        <v>613</v>
      </c>
      <c r="B498" s="242" t="s">
        <v>1131</v>
      </c>
      <c r="C498" s="242"/>
      <c r="D498" s="242"/>
      <c r="E498" s="453">
        <v>7605873.7699999996</v>
      </c>
      <c r="F498" s="451">
        <v>7527083.0800000001</v>
      </c>
      <c r="G498" s="459">
        <f t="shared" si="7"/>
        <v>98.964081019714328</v>
      </c>
    </row>
    <row r="499" spans="1:7" ht="63.75">
      <c r="A499" s="241" t="s">
        <v>1318</v>
      </c>
      <c r="B499" s="242" t="s">
        <v>1131</v>
      </c>
      <c r="C499" s="242" t="s">
        <v>273</v>
      </c>
      <c r="D499" s="242"/>
      <c r="E499" s="453">
        <v>7446999.7999999998</v>
      </c>
      <c r="F499" s="451">
        <v>7377369.1100000003</v>
      </c>
      <c r="G499" s="459">
        <f t="shared" si="7"/>
        <v>99.064983323888384</v>
      </c>
    </row>
    <row r="500" spans="1:7" ht="25.5">
      <c r="A500" s="241" t="s">
        <v>1203</v>
      </c>
      <c r="B500" s="242" t="s">
        <v>1131</v>
      </c>
      <c r="C500" s="242" t="s">
        <v>28</v>
      </c>
      <c r="D500" s="242"/>
      <c r="E500" s="453">
        <v>7446999.7999999998</v>
      </c>
      <c r="F500" s="451">
        <v>7377369.1100000003</v>
      </c>
      <c r="G500" s="459">
        <f t="shared" si="7"/>
        <v>99.064983323888384</v>
      </c>
    </row>
    <row r="501" spans="1:7">
      <c r="A501" s="241" t="s">
        <v>140</v>
      </c>
      <c r="B501" s="242" t="s">
        <v>1131</v>
      </c>
      <c r="C501" s="242" t="s">
        <v>28</v>
      </c>
      <c r="D501" s="242" t="s">
        <v>1142</v>
      </c>
      <c r="E501" s="453">
        <v>7446999.7999999998</v>
      </c>
      <c r="F501" s="451">
        <v>7377369.1100000003</v>
      </c>
      <c r="G501" s="459">
        <f t="shared" si="7"/>
        <v>99.064983323888384</v>
      </c>
    </row>
    <row r="502" spans="1:7">
      <c r="A502" s="241" t="s">
        <v>4</v>
      </c>
      <c r="B502" s="242" t="s">
        <v>1131</v>
      </c>
      <c r="C502" s="242" t="s">
        <v>28</v>
      </c>
      <c r="D502" s="242" t="s">
        <v>420</v>
      </c>
      <c r="E502" s="453">
        <v>7446999.7999999998</v>
      </c>
      <c r="F502" s="451">
        <v>7377369.1099999994</v>
      </c>
      <c r="G502" s="459">
        <f t="shared" si="7"/>
        <v>99.064983323888356</v>
      </c>
    </row>
    <row r="503" spans="1:7" ht="25.5">
      <c r="A503" s="241" t="s">
        <v>1319</v>
      </c>
      <c r="B503" s="242" t="s">
        <v>1131</v>
      </c>
      <c r="C503" s="242" t="s">
        <v>1320</v>
      </c>
      <c r="D503" s="242"/>
      <c r="E503" s="453">
        <v>158682</v>
      </c>
      <c r="F503" s="451">
        <v>149522</v>
      </c>
      <c r="G503" s="459">
        <f t="shared" si="7"/>
        <v>94.227448607907633</v>
      </c>
    </row>
    <row r="504" spans="1:7" ht="25.5">
      <c r="A504" s="241" t="s">
        <v>1196</v>
      </c>
      <c r="B504" s="242" t="s">
        <v>1131</v>
      </c>
      <c r="C504" s="242" t="s">
        <v>1197</v>
      </c>
      <c r="D504" s="242"/>
      <c r="E504" s="453">
        <v>158682</v>
      </c>
      <c r="F504" s="451">
        <v>149522</v>
      </c>
      <c r="G504" s="459">
        <f t="shared" si="7"/>
        <v>94.227448607907633</v>
      </c>
    </row>
    <row r="505" spans="1:7">
      <c r="A505" s="241" t="s">
        <v>140</v>
      </c>
      <c r="B505" s="242" t="s">
        <v>1131</v>
      </c>
      <c r="C505" s="242" t="s">
        <v>1197</v>
      </c>
      <c r="D505" s="242" t="s">
        <v>1142</v>
      </c>
      <c r="E505" s="453">
        <v>158682</v>
      </c>
      <c r="F505" s="451">
        <v>149522</v>
      </c>
      <c r="G505" s="459">
        <f t="shared" si="7"/>
        <v>94.227448607907633</v>
      </c>
    </row>
    <row r="506" spans="1:7">
      <c r="A506" s="241" t="s">
        <v>4</v>
      </c>
      <c r="B506" s="242" t="s">
        <v>1131</v>
      </c>
      <c r="C506" s="242" t="s">
        <v>1197</v>
      </c>
      <c r="D506" s="242" t="s">
        <v>420</v>
      </c>
      <c r="E506" s="453">
        <v>158682</v>
      </c>
      <c r="F506" s="451">
        <v>149522</v>
      </c>
      <c r="G506" s="459">
        <f t="shared" si="7"/>
        <v>94.227448607907633</v>
      </c>
    </row>
    <row r="507" spans="1:7">
      <c r="A507" s="241" t="s">
        <v>1321</v>
      </c>
      <c r="B507" s="242" t="s">
        <v>1131</v>
      </c>
      <c r="C507" s="242" t="s">
        <v>1322</v>
      </c>
      <c r="D507" s="242"/>
      <c r="E507" s="453">
        <v>191.97</v>
      </c>
      <c r="F507" s="451">
        <v>191.97</v>
      </c>
      <c r="G507" s="459">
        <f t="shared" si="7"/>
        <v>100</v>
      </c>
    </row>
    <row r="508" spans="1:7">
      <c r="A508" s="241" t="s">
        <v>1201</v>
      </c>
      <c r="B508" s="242" t="s">
        <v>1131</v>
      </c>
      <c r="C508" s="242" t="s">
        <v>1202</v>
      </c>
      <c r="D508" s="242"/>
      <c r="E508" s="453">
        <v>191.97</v>
      </c>
      <c r="F508" s="451">
        <v>191.97</v>
      </c>
      <c r="G508" s="459">
        <f t="shared" si="7"/>
        <v>100</v>
      </c>
    </row>
    <row r="509" spans="1:7">
      <c r="A509" s="241" t="s">
        <v>140</v>
      </c>
      <c r="B509" s="242" t="s">
        <v>1131</v>
      </c>
      <c r="C509" s="242" t="s">
        <v>1202</v>
      </c>
      <c r="D509" s="242" t="s">
        <v>1142</v>
      </c>
      <c r="E509" s="453">
        <v>191.97</v>
      </c>
      <c r="F509" s="451">
        <v>191.97</v>
      </c>
      <c r="G509" s="459">
        <f t="shared" si="7"/>
        <v>100</v>
      </c>
    </row>
    <row r="510" spans="1:7">
      <c r="A510" s="241" t="s">
        <v>4</v>
      </c>
      <c r="B510" s="242" t="s">
        <v>1131</v>
      </c>
      <c r="C510" s="242" t="s">
        <v>1202</v>
      </c>
      <c r="D510" s="242" t="s">
        <v>420</v>
      </c>
      <c r="E510" s="453">
        <v>191.97</v>
      </c>
      <c r="F510" s="451">
        <v>191.97</v>
      </c>
      <c r="G510" s="459">
        <f t="shared" si="7"/>
        <v>100</v>
      </c>
    </row>
    <row r="511" spans="1:7" ht="89.25">
      <c r="A511" s="241" t="s">
        <v>614</v>
      </c>
      <c r="B511" s="242" t="s">
        <v>1132</v>
      </c>
      <c r="C511" s="242"/>
      <c r="D511" s="242"/>
      <c r="E511" s="453">
        <v>143819.78</v>
      </c>
      <c r="F511" s="451">
        <v>143819.78</v>
      </c>
      <c r="G511" s="459">
        <f t="shared" si="7"/>
        <v>100</v>
      </c>
    </row>
    <row r="512" spans="1:7" ht="63.75">
      <c r="A512" s="241" t="s">
        <v>1318</v>
      </c>
      <c r="B512" s="242" t="s">
        <v>1132</v>
      </c>
      <c r="C512" s="242" t="s">
        <v>273</v>
      </c>
      <c r="D512" s="242"/>
      <c r="E512" s="453">
        <v>143819.78</v>
      </c>
      <c r="F512" s="451">
        <v>143819.78</v>
      </c>
      <c r="G512" s="459">
        <f t="shared" si="7"/>
        <v>100</v>
      </c>
    </row>
    <row r="513" spans="1:7" ht="25.5">
      <c r="A513" s="241" t="s">
        <v>1203</v>
      </c>
      <c r="B513" s="242" t="s">
        <v>1132</v>
      </c>
      <c r="C513" s="242" t="s">
        <v>28</v>
      </c>
      <c r="D513" s="242"/>
      <c r="E513" s="453">
        <v>143819.78</v>
      </c>
      <c r="F513" s="451">
        <v>143819.78</v>
      </c>
      <c r="G513" s="459">
        <f t="shared" si="7"/>
        <v>100</v>
      </c>
    </row>
    <row r="514" spans="1:7">
      <c r="A514" s="241" t="s">
        <v>140</v>
      </c>
      <c r="B514" s="242" t="s">
        <v>1132</v>
      </c>
      <c r="C514" s="242" t="s">
        <v>28</v>
      </c>
      <c r="D514" s="242" t="s">
        <v>1142</v>
      </c>
      <c r="E514" s="453">
        <v>143819.78</v>
      </c>
      <c r="F514" s="451">
        <v>143819.78</v>
      </c>
      <c r="G514" s="459">
        <f t="shared" si="7"/>
        <v>100</v>
      </c>
    </row>
    <row r="515" spans="1:7">
      <c r="A515" s="241" t="s">
        <v>4</v>
      </c>
      <c r="B515" s="242" t="s">
        <v>1132</v>
      </c>
      <c r="C515" s="242" t="s">
        <v>28</v>
      </c>
      <c r="D515" s="242" t="s">
        <v>420</v>
      </c>
      <c r="E515" s="453">
        <v>143819.78</v>
      </c>
      <c r="F515" s="451">
        <v>143819.78</v>
      </c>
      <c r="G515" s="459">
        <f t="shared" si="7"/>
        <v>100</v>
      </c>
    </row>
    <row r="516" spans="1:7" ht="63.75">
      <c r="A516" s="241" t="s">
        <v>2258</v>
      </c>
      <c r="B516" s="242" t="s">
        <v>2259</v>
      </c>
      <c r="C516" s="242"/>
      <c r="D516" s="242"/>
      <c r="E516" s="453">
        <v>180000</v>
      </c>
      <c r="F516" s="451">
        <v>180000</v>
      </c>
      <c r="G516" s="459">
        <f t="shared" si="7"/>
        <v>100</v>
      </c>
    </row>
    <row r="517" spans="1:7" ht="63.75">
      <c r="A517" s="241" t="s">
        <v>1318</v>
      </c>
      <c r="B517" s="242" t="s">
        <v>2259</v>
      </c>
      <c r="C517" s="242" t="s">
        <v>273</v>
      </c>
      <c r="D517" s="242"/>
      <c r="E517" s="453">
        <v>180000</v>
      </c>
      <c r="F517" s="451">
        <v>180000</v>
      </c>
      <c r="G517" s="459">
        <f t="shared" si="7"/>
        <v>100</v>
      </c>
    </row>
    <row r="518" spans="1:7" ht="25.5">
      <c r="A518" s="241" t="s">
        <v>1203</v>
      </c>
      <c r="B518" s="242" t="s">
        <v>2259</v>
      </c>
      <c r="C518" s="242" t="s">
        <v>28</v>
      </c>
      <c r="D518" s="242"/>
      <c r="E518" s="453">
        <v>180000</v>
      </c>
      <c r="F518" s="451">
        <v>180000</v>
      </c>
      <c r="G518" s="459">
        <f t="shared" si="7"/>
        <v>100</v>
      </c>
    </row>
    <row r="519" spans="1:7">
      <c r="A519" s="241" t="s">
        <v>140</v>
      </c>
      <c r="B519" s="242" t="s">
        <v>2259</v>
      </c>
      <c r="C519" s="242" t="s">
        <v>28</v>
      </c>
      <c r="D519" s="242" t="s">
        <v>1142</v>
      </c>
      <c r="E519" s="453">
        <v>180000</v>
      </c>
      <c r="F519" s="451">
        <v>180000</v>
      </c>
      <c r="G519" s="459">
        <f t="shared" ref="G519:G582" si="8">F519/E519*100</f>
        <v>100</v>
      </c>
    </row>
    <row r="520" spans="1:7">
      <c r="A520" s="241" t="s">
        <v>4</v>
      </c>
      <c r="B520" s="242" t="s">
        <v>2259</v>
      </c>
      <c r="C520" s="242" t="s">
        <v>28</v>
      </c>
      <c r="D520" s="242" t="s">
        <v>420</v>
      </c>
      <c r="E520" s="453">
        <v>180000</v>
      </c>
      <c r="F520" s="451">
        <v>180000</v>
      </c>
      <c r="G520" s="459">
        <f t="shared" si="8"/>
        <v>100</v>
      </c>
    </row>
    <row r="521" spans="1:7" ht="63.75">
      <c r="A521" s="241" t="s">
        <v>607</v>
      </c>
      <c r="B521" s="242" t="s">
        <v>1733</v>
      </c>
      <c r="C521" s="242"/>
      <c r="D521" s="242"/>
      <c r="E521" s="453">
        <v>73001.13</v>
      </c>
      <c r="F521" s="451">
        <v>73001.13</v>
      </c>
      <c r="G521" s="459">
        <f t="shared" si="8"/>
        <v>100</v>
      </c>
    </row>
    <row r="522" spans="1:7" ht="25.5">
      <c r="A522" s="241" t="s">
        <v>1319</v>
      </c>
      <c r="B522" s="242" t="s">
        <v>1733</v>
      </c>
      <c r="C522" s="242" t="s">
        <v>1320</v>
      </c>
      <c r="D522" s="242"/>
      <c r="E522" s="453">
        <v>73001.13</v>
      </c>
      <c r="F522" s="451">
        <v>73001.13</v>
      </c>
      <c r="G522" s="459">
        <f t="shared" si="8"/>
        <v>100</v>
      </c>
    </row>
    <row r="523" spans="1:7" ht="25.5">
      <c r="A523" s="241" t="s">
        <v>1196</v>
      </c>
      <c r="B523" s="242" t="s">
        <v>1733</v>
      </c>
      <c r="C523" s="242" t="s">
        <v>1197</v>
      </c>
      <c r="D523" s="242"/>
      <c r="E523" s="453">
        <v>73001.13</v>
      </c>
      <c r="F523" s="451">
        <v>73001.13</v>
      </c>
      <c r="G523" s="459">
        <f t="shared" si="8"/>
        <v>100</v>
      </c>
    </row>
    <row r="524" spans="1:7">
      <c r="A524" s="241" t="s">
        <v>140</v>
      </c>
      <c r="B524" s="242" t="s">
        <v>1733</v>
      </c>
      <c r="C524" s="242" t="s">
        <v>1197</v>
      </c>
      <c r="D524" s="242" t="s">
        <v>1142</v>
      </c>
      <c r="E524" s="453">
        <v>73001.13</v>
      </c>
      <c r="F524" s="451">
        <v>73001.13</v>
      </c>
      <c r="G524" s="459">
        <f t="shared" si="8"/>
        <v>100</v>
      </c>
    </row>
    <row r="525" spans="1:7">
      <c r="A525" s="241" t="s">
        <v>1075</v>
      </c>
      <c r="B525" s="242" t="s">
        <v>1733</v>
      </c>
      <c r="C525" s="242" t="s">
        <v>1197</v>
      </c>
      <c r="D525" s="242" t="s">
        <v>365</v>
      </c>
      <c r="E525" s="453">
        <v>73001.13</v>
      </c>
      <c r="F525" s="451">
        <v>73001.13</v>
      </c>
      <c r="G525" s="459">
        <f t="shared" si="8"/>
        <v>100</v>
      </c>
    </row>
    <row r="526" spans="1:7" ht="76.5">
      <c r="A526" s="241" t="s">
        <v>608</v>
      </c>
      <c r="B526" s="242" t="s">
        <v>1734</v>
      </c>
      <c r="C526" s="242"/>
      <c r="D526" s="242"/>
      <c r="E526" s="453">
        <v>225046.8</v>
      </c>
      <c r="F526" s="451">
        <v>225046.8</v>
      </c>
      <c r="G526" s="459">
        <f t="shared" si="8"/>
        <v>100</v>
      </c>
    </row>
    <row r="527" spans="1:7" ht="25.5">
      <c r="A527" s="241" t="s">
        <v>1319</v>
      </c>
      <c r="B527" s="242" t="s">
        <v>1734</v>
      </c>
      <c r="C527" s="242" t="s">
        <v>1320</v>
      </c>
      <c r="D527" s="242"/>
      <c r="E527" s="453">
        <v>225046.8</v>
      </c>
      <c r="F527" s="451">
        <v>225046.8</v>
      </c>
      <c r="G527" s="459">
        <f t="shared" si="8"/>
        <v>100</v>
      </c>
    </row>
    <row r="528" spans="1:7" ht="25.5">
      <c r="A528" s="241" t="s">
        <v>1196</v>
      </c>
      <c r="B528" s="242" t="s">
        <v>1734</v>
      </c>
      <c r="C528" s="242" t="s">
        <v>1197</v>
      </c>
      <c r="D528" s="242"/>
      <c r="E528" s="453">
        <v>225046.8</v>
      </c>
      <c r="F528" s="451">
        <v>225046.8</v>
      </c>
      <c r="G528" s="459">
        <f t="shared" si="8"/>
        <v>100</v>
      </c>
    </row>
    <row r="529" spans="1:7">
      <c r="A529" s="241" t="s">
        <v>140</v>
      </c>
      <c r="B529" s="242" t="s">
        <v>1734</v>
      </c>
      <c r="C529" s="242" t="s">
        <v>1197</v>
      </c>
      <c r="D529" s="242" t="s">
        <v>1142</v>
      </c>
      <c r="E529" s="453">
        <v>225046.8</v>
      </c>
      <c r="F529" s="451">
        <v>225046.8</v>
      </c>
      <c r="G529" s="459">
        <f t="shared" si="8"/>
        <v>100</v>
      </c>
    </row>
    <row r="530" spans="1:7">
      <c r="A530" s="241" t="s">
        <v>1075</v>
      </c>
      <c r="B530" s="242" t="s">
        <v>1734</v>
      </c>
      <c r="C530" s="242" t="s">
        <v>1197</v>
      </c>
      <c r="D530" s="242" t="s">
        <v>365</v>
      </c>
      <c r="E530" s="453">
        <v>225046.8</v>
      </c>
      <c r="F530" s="451">
        <v>225046.8</v>
      </c>
      <c r="G530" s="459">
        <f t="shared" si="8"/>
        <v>100</v>
      </c>
    </row>
    <row r="531" spans="1:7" ht="25.5">
      <c r="A531" s="241" t="s">
        <v>1708</v>
      </c>
      <c r="B531" s="242" t="s">
        <v>1709</v>
      </c>
      <c r="C531" s="242"/>
      <c r="D531" s="242"/>
      <c r="E531" s="453">
        <v>9515647</v>
      </c>
      <c r="F531" s="451">
        <v>4850313.47</v>
      </c>
      <c r="G531" s="459">
        <f t="shared" si="8"/>
        <v>50.971977733095805</v>
      </c>
    </row>
    <row r="532" spans="1:7" ht="25.5">
      <c r="A532" s="241" t="s">
        <v>822</v>
      </c>
      <c r="B532" s="242" t="s">
        <v>1710</v>
      </c>
      <c r="C532" s="242"/>
      <c r="D532" s="242"/>
      <c r="E532" s="453">
        <v>7692270</v>
      </c>
      <c r="F532" s="451">
        <v>3027249.25</v>
      </c>
      <c r="G532" s="459">
        <f t="shared" si="8"/>
        <v>39.354433086722125</v>
      </c>
    </row>
    <row r="533" spans="1:7" ht="63.75">
      <c r="A533" s="241" t="s">
        <v>1711</v>
      </c>
      <c r="B533" s="242" t="s">
        <v>1712</v>
      </c>
      <c r="C533" s="242"/>
      <c r="D533" s="242"/>
      <c r="E533" s="453">
        <v>3299500</v>
      </c>
      <c r="F533" s="451">
        <v>2437069.7999999998</v>
      </c>
      <c r="G533" s="459">
        <f t="shared" si="8"/>
        <v>73.861791180481887</v>
      </c>
    </row>
    <row r="534" spans="1:7" ht="25.5">
      <c r="A534" s="241" t="s">
        <v>1319</v>
      </c>
      <c r="B534" s="242" t="s">
        <v>1712</v>
      </c>
      <c r="C534" s="242" t="s">
        <v>1320</v>
      </c>
      <c r="D534" s="242"/>
      <c r="E534" s="453">
        <v>3299500</v>
      </c>
      <c r="F534" s="451">
        <v>2437069.7999999998</v>
      </c>
      <c r="G534" s="459">
        <f t="shared" si="8"/>
        <v>73.861791180481887</v>
      </c>
    </row>
    <row r="535" spans="1:7" ht="25.5">
      <c r="A535" s="241" t="s">
        <v>1196</v>
      </c>
      <c r="B535" s="242" t="s">
        <v>1712</v>
      </c>
      <c r="C535" s="242" t="s">
        <v>1197</v>
      </c>
      <c r="D535" s="242"/>
      <c r="E535" s="453">
        <v>3299500</v>
      </c>
      <c r="F535" s="451">
        <v>2437069.7999999998</v>
      </c>
      <c r="G535" s="459">
        <f t="shared" si="8"/>
        <v>73.861791180481887</v>
      </c>
    </row>
    <row r="536" spans="1:7">
      <c r="A536" s="241" t="s">
        <v>239</v>
      </c>
      <c r="B536" s="242" t="s">
        <v>1712</v>
      </c>
      <c r="C536" s="242" t="s">
        <v>1197</v>
      </c>
      <c r="D536" s="242" t="s">
        <v>1141</v>
      </c>
      <c r="E536" s="453">
        <v>3299500</v>
      </c>
      <c r="F536" s="451">
        <v>2437069.7999999998</v>
      </c>
      <c r="G536" s="459">
        <f t="shared" si="8"/>
        <v>73.861791180481887</v>
      </c>
    </row>
    <row r="537" spans="1:7">
      <c r="A537" s="241" t="s">
        <v>37</v>
      </c>
      <c r="B537" s="242" t="s">
        <v>1712</v>
      </c>
      <c r="C537" s="242" t="s">
        <v>1197</v>
      </c>
      <c r="D537" s="242" t="s">
        <v>388</v>
      </c>
      <c r="E537" s="453">
        <v>3299500</v>
      </c>
      <c r="F537" s="451">
        <v>2437069.7999999998</v>
      </c>
      <c r="G537" s="459">
        <f t="shared" si="8"/>
        <v>73.861791180481887</v>
      </c>
    </row>
    <row r="538" spans="1:7" ht="102">
      <c r="A538" s="241" t="s">
        <v>1845</v>
      </c>
      <c r="B538" s="242" t="s">
        <v>1846</v>
      </c>
      <c r="C538" s="242"/>
      <c r="D538" s="242"/>
      <c r="E538" s="453">
        <v>61770</v>
      </c>
      <c r="F538" s="451">
        <v>59179.45</v>
      </c>
      <c r="G538" s="459">
        <f t="shared" si="8"/>
        <v>95.806135664562078</v>
      </c>
    </row>
    <row r="539" spans="1:7" ht="25.5">
      <c r="A539" s="241" t="s">
        <v>1319</v>
      </c>
      <c r="B539" s="242" t="s">
        <v>1846</v>
      </c>
      <c r="C539" s="242" t="s">
        <v>1320</v>
      </c>
      <c r="D539" s="242"/>
      <c r="E539" s="453">
        <v>61770</v>
      </c>
      <c r="F539" s="451">
        <v>59179.45</v>
      </c>
      <c r="G539" s="459">
        <f t="shared" si="8"/>
        <v>95.806135664562078</v>
      </c>
    </row>
    <row r="540" spans="1:7" ht="25.5">
      <c r="A540" s="241" t="s">
        <v>1196</v>
      </c>
      <c r="B540" s="242" t="s">
        <v>1846</v>
      </c>
      <c r="C540" s="242" t="s">
        <v>1197</v>
      </c>
      <c r="D540" s="242"/>
      <c r="E540" s="453">
        <v>61770</v>
      </c>
      <c r="F540" s="451">
        <v>59179.45</v>
      </c>
      <c r="G540" s="459">
        <f t="shared" si="8"/>
        <v>95.806135664562078</v>
      </c>
    </row>
    <row r="541" spans="1:7">
      <c r="A541" s="241" t="s">
        <v>1646</v>
      </c>
      <c r="B541" s="242" t="s">
        <v>1846</v>
      </c>
      <c r="C541" s="242" t="s">
        <v>1197</v>
      </c>
      <c r="D541" s="242" t="s">
        <v>1647</v>
      </c>
      <c r="E541" s="453">
        <v>61770</v>
      </c>
      <c r="F541" s="451">
        <v>59179.45</v>
      </c>
      <c r="G541" s="459">
        <f t="shared" si="8"/>
        <v>95.806135664562078</v>
      </c>
    </row>
    <row r="542" spans="1:7">
      <c r="A542" s="241" t="s">
        <v>1648</v>
      </c>
      <c r="B542" s="242" t="s">
        <v>1846</v>
      </c>
      <c r="C542" s="242" t="s">
        <v>1197</v>
      </c>
      <c r="D542" s="242" t="s">
        <v>1649</v>
      </c>
      <c r="E542" s="453">
        <v>61770</v>
      </c>
      <c r="F542" s="451">
        <v>59179.45</v>
      </c>
      <c r="G542" s="459">
        <f t="shared" si="8"/>
        <v>95.806135664562078</v>
      </c>
    </row>
    <row r="543" spans="1:7" ht="63.75">
      <c r="A543" s="241" t="s">
        <v>2139</v>
      </c>
      <c r="B543" s="242" t="s">
        <v>2140</v>
      </c>
      <c r="C543" s="242"/>
      <c r="D543" s="242"/>
      <c r="E543" s="453">
        <v>531000</v>
      </c>
      <c r="F543" s="451">
        <v>531000</v>
      </c>
      <c r="G543" s="459">
        <f t="shared" si="8"/>
        <v>100</v>
      </c>
    </row>
    <row r="544" spans="1:7" ht="25.5">
      <c r="A544" s="241" t="s">
        <v>1319</v>
      </c>
      <c r="B544" s="242" t="s">
        <v>2140</v>
      </c>
      <c r="C544" s="242" t="s">
        <v>1320</v>
      </c>
      <c r="D544" s="242"/>
      <c r="E544" s="453">
        <v>531000</v>
      </c>
      <c r="F544" s="451">
        <v>531000</v>
      </c>
      <c r="G544" s="459">
        <f t="shared" si="8"/>
        <v>100</v>
      </c>
    </row>
    <row r="545" spans="1:7" ht="25.5">
      <c r="A545" s="241" t="s">
        <v>1196</v>
      </c>
      <c r="B545" s="242" t="s">
        <v>2140</v>
      </c>
      <c r="C545" s="242" t="s">
        <v>1197</v>
      </c>
      <c r="D545" s="242"/>
      <c r="E545" s="453">
        <v>531000</v>
      </c>
      <c r="F545" s="451">
        <v>531000</v>
      </c>
      <c r="G545" s="459">
        <f t="shared" si="8"/>
        <v>100</v>
      </c>
    </row>
    <row r="546" spans="1:7">
      <c r="A546" s="241" t="s">
        <v>1646</v>
      </c>
      <c r="B546" s="242" t="s">
        <v>2140</v>
      </c>
      <c r="C546" s="242" t="s">
        <v>1197</v>
      </c>
      <c r="D546" s="242" t="s">
        <v>1647</v>
      </c>
      <c r="E546" s="453">
        <v>531000</v>
      </c>
      <c r="F546" s="451">
        <v>531000</v>
      </c>
      <c r="G546" s="459">
        <f t="shared" si="8"/>
        <v>100</v>
      </c>
    </row>
    <row r="547" spans="1:7">
      <c r="A547" s="241" t="s">
        <v>1648</v>
      </c>
      <c r="B547" s="242" t="s">
        <v>2140</v>
      </c>
      <c r="C547" s="242" t="s">
        <v>1197</v>
      </c>
      <c r="D547" s="242" t="s">
        <v>1649</v>
      </c>
      <c r="E547" s="453">
        <v>531000</v>
      </c>
      <c r="F547" s="451">
        <v>531000</v>
      </c>
      <c r="G547" s="459">
        <f t="shared" si="8"/>
        <v>100</v>
      </c>
    </row>
    <row r="548" spans="1:7" ht="76.5">
      <c r="A548" s="241" t="s">
        <v>1805</v>
      </c>
      <c r="B548" s="242" t="s">
        <v>1804</v>
      </c>
      <c r="C548" s="242"/>
      <c r="D548" s="242"/>
      <c r="E548" s="453">
        <v>3800000</v>
      </c>
      <c r="F548" s="451">
        <v>0</v>
      </c>
      <c r="G548" s="459">
        <f t="shared" si="8"/>
        <v>0</v>
      </c>
    </row>
    <row r="549" spans="1:7" ht="25.5">
      <c r="A549" s="241" t="s">
        <v>1319</v>
      </c>
      <c r="B549" s="242" t="s">
        <v>1804</v>
      </c>
      <c r="C549" s="242" t="s">
        <v>1320</v>
      </c>
      <c r="D549" s="242"/>
      <c r="E549" s="453">
        <v>3800000</v>
      </c>
      <c r="F549" s="451">
        <v>0</v>
      </c>
      <c r="G549" s="459">
        <f t="shared" si="8"/>
        <v>0</v>
      </c>
    </row>
    <row r="550" spans="1:7" ht="25.5">
      <c r="A550" s="241" t="s">
        <v>1196</v>
      </c>
      <c r="B550" s="242" t="s">
        <v>1804</v>
      </c>
      <c r="C550" s="242" t="s">
        <v>1197</v>
      </c>
      <c r="D550" s="242"/>
      <c r="E550" s="453">
        <v>3800000</v>
      </c>
      <c r="F550" s="451">
        <v>0</v>
      </c>
      <c r="G550" s="459">
        <f t="shared" si="8"/>
        <v>0</v>
      </c>
    </row>
    <row r="551" spans="1:7">
      <c r="A551" s="241" t="s">
        <v>1646</v>
      </c>
      <c r="B551" s="242" t="s">
        <v>1804</v>
      </c>
      <c r="C551" s="242" t="s">
        <v>1197</v>
      </c>
      <c r="D551" s="242" t="s">
        <v>1647</v>
      </c>
      <c r="E551" s="453">
        <v>3800000</v>
      </c>
      <c r="F551" s="451">
        <v>0</v>
      </c>
      <c r="G551" s="459">
        <f t="shared" si="8"/>
        <v>0</v>
      </c>
    </row>
    <row r="552" spans="1:7">
      <c r="A552" s="241" t="s">
        <v>1648</v>
      </c>
      <c r="B552" s="242" t="s">
        <v>1804</v>
      </c>
      <c r="C552" s="242" t="s">
        <v>1197</v>
      </c>
      <c r="D552" s="242" t="s">
        <v>1649</v>
      </c>
      <c r="E552" s="453">
        <v>3800000</v>
      </c>
      <c r="F552" s="451">
        <v>0</v>
      </c>
      <c r="G552" s="459">
        <f t="shared" si="8"/>
        <v>0</v>
      </c>
    </row>
    <row r="553" spans="1:7">
      <c r="A553" s="241" t="s">
        <v>1715</v>
      </c>
      <c r="B553" s="242" t="s">
        <v>1716</v>
      </c>
      <c r="C553" s="242"/>
      <c r="D553" s="242"/>
      <c r="E553" s="453">
        <v>1823377</v>
      </c>
      <c r="F553" s="451">
        <v>1823064.22</v>
      </c>
      <c r="G553" s="459">
        <f t="shared" si="8"/>
        <v>99.982846114654294</v>
      </c>
    </row>
    <row r="554" spans="1:7" ht="76.5">
      <c r="A554" s="241" t="s">
        <v>1717</v>
      </c>
      <c r="B554" s="242" t="s">
        <v>1718</v>
      </c>
      <c r="C554" s="242"/>
      <c r="D554" s="242"/>
      <c r="E554" s="453">
        <v>1823377</v>
      </c>
      <c r="F554" s="451">
        <v>1823064.22</v>
      </c>
      <c r="G554" s="459">
        <f t="shared" si="8"/>
        <v>99.982846114654294</v>
      </c>
    </row>
    <row r="555" spans="1:7" ht="63.75">
      <c r="A555" s="241" t="s">
        <v>1318</v>
      </c>
      <c r="B555" s="242" t="s">
        <v>1718</v>
      </c>
      <c r="C555" s="242" t="s">
        <v>273</v>
      </c>
      <c r="D555" s="242"/>
      <c r="E555" s="453">
        <v>89177</v>
      </c>
      <c r="F555" s="451">
        <v>89177</v>
      </c>
      <c r="G555" s="459">
        <f t="shared" si="8"/>
        <v>100</v>
      </c>
    </row>
    <row r="556" spans="1:7" ht="25.5">
      <c r="A556" s="241" t="s">
        <v>1203</v>
      </c>
      <c r="B556" s="242" t="s">
        <v>1718</v>
      </c>
      <c r="C556" s="242" t="s">
        <v>28</v>
      </c>
      <c r="D556" s="242"/>
      <c r="E556" s="453">
        <v>89177</v>
      </c>
      <c r="F556" s="451">
        <v>89177</v>
      </c>
      <c r="G556" s="459">
        <f t="shared" si="8"/>
        <v>100</v>
      </c>
    </row>
    <row r="557" spans="1:7">
      <c r="A557" s="241" t="s">
        <v>1646</v>
      </c>
      <c r="B557" s="242" t="s">
        <v>1718</v>
      </c>
      <c r="C557" s="242" t="s">
        <v>28</v>
      </c>
      <c r="D557" s="242" t="s">
        <v>1647</v>
      </c>
      <c r="E557" s="453">
        <v>89177</v>
      </c>
      <c r="F557" s="451">
        <v>89177</v>
      </c>
      <c r="G557" s="459">
        <f t="shared" si="8"/>
        <v>100</v>
      </c>
    </row>
    <row r="558" spans="1:7" ht="25.5">
      <c r="A558" s="241" t="s">
        <v>1713</v>
      </c>
      <c r="B558" s="242" t="s">
        <v>1718</v>
      </c>
      <c r="C558" s="242" t="s">
        <v>28</v>
      </c>
      <c r="D558" s="242" t="s">
        <v>1714</v>
      </c>
      <c r="E558" s="453">
        <v>89177</v>
      </c>
      <c r="F558" s="451">
        <v>89177</v>
      </c>
      <c r="G558" s="459">
        <f t="shared" si="8"/>
        <v>100</v>
      </c>
    </row>
    <row r="559" spans="1:7" ht="25.5">
      <c r="A559" s="241" t="s">
        <v>1319</v>
      </c>
      <c r="B559" s="242" t="s">
        <v>1718</v>
      </c>
      <c r="C559" s="242" t="s">
        <v>1320</v>
      </c>
      <c r="D559" s="242"/>
      <c r="E559" s="453">
        <v>1734200</v>
      </c>
      <c r="F559" s="451">
        <v>1733887.22</v>
      </c>
      <c r="G559" s="459">
        <f t="shared" si="8"/>
        <v>99.981964017991004</v>
      </c>
    </row>
    <row r="560" spans="1:7" ht="25.5">
      <c r="A560" s="241" t="s">
        <v>1196</v>
      </c>
      <c r="B560" s="242" t="s">
        <v>1718</v>
      </c>
      <c r="C560" s="242" t="s">
        <v>1197</v>
      </c>
      <c r="D560" s="242"/>
      <c r="E560" s="453">
        <v>1734200</v>
      </c>
      <c r="F560" s="451">
        <v>1733887.22</v>
      </c>
      <c r="G560" s="459">
        <f t="shared" si="8"/>
        <v>99.981964017991004</v>
      </c>
    </row>
    <row r="561" spans="1:7">
      <c r="A561" s="241" t="s">
        <v>1646</v>
      </c>
      <c r="B561" s="242" t="s">
        <v>1718</v>
      </c>
      <c r="C561" s="242" t="s">
        <v>1197</v>
      </c>
      <c r="D561" s="242" t="s">
        <v>1647</v>
      </c>
      <c r="E561" s="453">
        <v>1734200</v>
      </c>
      <c r="F561" s="451">
        <v>1733887.22</v>
      </c>
      <c r="G561" s="459">
        <f t="shared" si="8"/>
        <v>99.981964017991004</v>
      </c>
    </row>
    <row r="562" spans="1:7" ht="25.5">
      <c r="A562" s="241" t="s">
        <v>1713</v>
      </c>
      <c r="B562" s="242" t="s">
        <v>1718</v>
      </c>
      <c r="C562" s="242" t="s">
        <v>1197</v>
      </c>
      <c r="D562" s="242" t="s">
        <v>1714</v>
      </c>
      <c r="E562" s="453">
        <v>1734200</v>
      </c>
      <c r="F562" s="451">
        <v>1733887.22</v>
      </c>
      <c r="G562" s="459">
        <f t="shared" si="8"/>
        <v>99.981964017991004</v>
      </c>
    </row>
    <row r="563" spans="1:7" ht="38.25">
      <c r="A563" s="241" t="s">
        <v>452</v>
      </c>
      <c r="B563" s="242" t="s">
        <v>974</v>
      </c>
      <c r="C563" s="242"/>
      <c r="D563" s="242"/>
      <c r="E563" s="453">
        <v>446826192.50999999</v>
      </c>
      <c r="F563" s="451">
        <v>388559436.91000003</v>
      </c>
      <c r="G563" s="459">
        <f t="shared" si="8"/>
        <v>86.959861221945715</v>
      </c>
    </row>
    <row r="564" spans="1:7" ht="38.25">
      <c r="A564" s="241" t="s">
        <v>591</v>
      </c>
      <c r="B564" s="242" t="s">
        <v>975</v>
      </c>
      <c r="C564" s="242"/>
      <c r="D564" s="242"/>
      <c r="E564" s="453">
        <v>237465633.63</v>
      </c>
      <c r="F564" s="451">
        <v>237465633.63</v>
      </c>
      <c r="G564" s="459">
        <f t="shared" si="8"/>
        <v>100</v>
      </c>
    </row>
    <row r="565" spans="1:7" ht="153">
      <c r="A565" s="241" t="s">
        <v>2106</v>
      </c>
      <c r="B565" s="242" t="s">
        <v>2107</v>
      </c>
      <c r="C565" s="242"/>
      <c r="D565" s="242"/>
      <c r="E565" s="453">
        <v>163442.65</v>
      </c>
      <c r="F565" s="451">
        <v>163442.65</v>
      </c>
      <c r="G565" s="459">
        <f t="shared" si="8"/>
        <v>100</v>
      </c>
    </row>
    <row r="566" spans="1:7" ht="63.75">
      <c r="A566" s="241" t="s">
        <v>1318</v>
      </c>
      <c r="B566" s="242" t="s">
        <v>2107</v>
      </c>
      <c r="C566" s="242" t="s">
        <v>273</v>
      </c>
      <c r="D566" s="242"/>
      <c r="E566" s="453">
        <v>163442.65</v>
      </c>
      <c r="F566" s="451">
        <v>163442.65</v>
      </c>
      <c r="G566" s="459">
        <f t="shared" si="8"/>
        <v>100</v>
      </c>
    </row>
    <row r="567" spans="1:7">
      <c r="A567" s="241" t="s">
        <v>1190</v>
      </c>
      <c r="B567" s="242" t="s">
        <v>2107</v>
      </c>
      <c r="C567" s="242" t="s">
        <v>133</v>
      </c>
      <c r="D567" s="242"/>
      <c r="E567" s="453">
        <v>163442.65</v>
      </c>
      <c r="F567" s="451">
        <v>163442.65</v>
      </c>
      <c r="G567" s="459">
        <f t="shared" si="8"/>
        <v>100</v>
      </c>
    </row>
    <row r="568" spans="1:7">
      <c r="A568" s="241" t="s">
        <v>239</v>
      </c>
      <c r="B568" s="242" t="s">
        <v>2107</v>
      </c>
      <c r="C568" s="242" t="s">
        <v>133</v>
      </c>
      <c r="D568" s="242" t="s">
        <v>1141</v>
      </c>
      <c r="E568" s="453">
        <v>163442.65</v>
      </c>
      <c r="F568" s="451">
        <v>163442.65</v>
      </c>
      <c r="G568" s="459">
        <f t="shared" si="8"/>
        <v>100</v>
      </c>
    </row>
    <row r="569" spans="1:7">
      <c r="A569" s="241" t="s">
        <v>146</v>
      </c>
      <c r="B569" s="242" t="s">
        <v>2107</v>
      </c>
      <c r="C569" s="242" t="s">
        <v>133</v>
      </c>
      <c r="D569" s="242" t="s">
        <v>364</v>
      </c>
      <c r="E569" s="453">
        <v>163442.65</v>
      </c>
      <c r="F569" s="451">
        <v>163442.65</v>
      </c>
      <c r="G569" s="459">
        <f t="shared" si="8"/>
        <v>100</v>
      </c>
    </row>
    <row r="570" spans="1:7" ht="102">
      <c r="A570" s="241" t="s">
        <v>1161</v>
      </c>
      <c r="B570" s="242" t="s">
        <v>679</v>
      </c>
      <c r="C570" s="242"/>
      <c r="D570" s="242"/>
      <c r="E570" s="453">
        <v>211790900</v>
      </c>
      <c r="F570" s="451">
        <v>211790900</v>
      </c>
      <c r="G570" s="459">
        <f t="shared" si="8"/>
        <v>100</v>
      </c>
    </row>
    <row r="571" spans="1:7">
      <c r="A571" s="241" t="s">
        <v>1321</v>
      </c>
      <c r="B571" s="242" t="s">
        <v>679</v>
      </c>
      <c r="C571" s="242" t="s">
        <v>1322</v>
      </c>
      <c r="D571" s="242"/>
      <c r="E571" s="453">
        <v>211790900</v>
      </c>
      <c r="F571" s="451">
        <v>211790900</v>
      </c>
      <c r="G571" s="459">
        <f t="shared" si="8"/>
        <v>100</v>
      </c>
    </row>
    <row r="572" spans="1:7" ht="38.25">
      <c r="A572" s="241" t="s">
        <v>1206</v>
      </c>
      <c r="B572" s="242" t="s">
        <v>679</v>
      </c>
      <c r="C572" s="242" t="s">
        <v>354</v>
      </c>
      <c r="D572" s="242"/>
      <c r="E572" s="453">
        <v>211790900</v>
      </c>
      <c r="F572" s="451">
        <v>211790900</v>
      </c>
      <c r="G572" s="459">
        <f t="shared" si="8"/>
        <v>100</v>
      </c>
    </row>
    <row r="573" spans="1:7">
      <c r="A573" s="241" t="s">
        <v>239</v>
      </c>
      <c r="B573" s="242" t="s">
        <v>679</v>
      </c>
      <c r="C573" s="242" t="s">
        <v>354</v>
      </c>
      <c r="D573" s="242" t="s">
        <v>1141</v>
      </c>
      <c r="E573" s="453">
        <v>211790900</v>
      </c>
      <c r="F573" s="451">
        <v>211790900</v>
      </c>
      <c r="G573" s="459">
        <f t="shared" si="8"/>
        <v>100</v>
      </c>
    </row>
    <row r="574" spans="1:7">
      <c r="A574" s="241" t="s">
        <v>146</v>
      </c>
      <c r="B574" s="242" t="s">
        <v>679</v>
      </c>
      <c r="C574" s="242" t="s">
        <v>354</v>
      </c>
      <c r="D574" s="242" t="s">
        <v>364</v>
      </c>
      <c r="E574" s="453">
        <v>211790900</v>
      </c>
      <c r="F574" s="451">
        <v>211790900</v>
      </c>
      <c r="G574" s="459">
        <f t="shared" si="8"/>
        <v>100</v>
      </c>
    </row>
    <row r="575" spans="1:7" ht="153">
      <c r="A575" s="241" t="s">
        <v>1345</v>
      </c>
      <c r="B575" s="242" t="s">
        <v>678</v>
      </c>
      <c r="C575" s="242"/>
      <c r="D575" s="242"/>
      <c r="E575" s="453">
        <v>18652300</v>
      </c>
      <c r="F575" s="451">
        <v>18652300</v>
      </c>
      <c r="G575" s="459">
        <f t="shared" si="8"/>
        <v>100</v>
      </c>
    </row>
    <row r="576" spans="1:7">
      <c r="A576" s="241" t="s">
        <v>1321</v>
      </c>
      <c r="B576" s="242" t="s">
        <v>678</v>
      </c>
      <c r="C576" s="242" t="s">
        <v>1322</v>
      </c>
      <c r="D576" s="242"/>
      <c r="E576" s="453">
        <v>18652300</v>
      </c>
      <c r="F576" s="451">
        <v>18652300</v>
      </c>
      <c r="G576" s="459">
        <f t="shared" si="8"/>
        <v>100</v>
      </c>
    </row>
    <row r="577" spans="1:7" ht="38.25">
      <c r="A577" s="241" t="s">
        <v>1206</v>
      </c>
      <c r="B577" s="242" t="s">
        <v>678</v>
      </c>
      <c r="C577" s="242" t="s">
        <v>354</v>
      </c>
      <c r="D577" s="242"/>
      <c r="E577" s="453">
        <v>18652300</v>
      </c>
      <c r="F577" s="451">
        <v>18652300</v>
      </c>
      <c r="G577" s="459">
        <f t="shared" si="8"/>
        <v>100</v>
      </c>
    </row>
    <row r="578" spans="1:7">
      <c r="A578" s="241" t="s">
        <v>239</v>
      </c>
      <c r="B578" s="242" t="s">
        <v>678</v>
      </c>
      <c r="C578" s="242" t="s">
        <v>354</v>
      </c>
      <c r="D578" s="242" t="s">
        <v>1141</v>
      </c>
      <c r="E578" s="453">
        <v>18652300</v>
      </c>
      <c r="F578" s="451">
        <v>18652300</v>
      </c>
      <c r="G578" s="459">
        <f t="shared" si="8"/>
        <v>100</v>
      </c>
    </row>
    <row r="579" spans="1:7">
      <c r="A579" s="241" t="s">
        <v>146</v>
      </c>
      <c r="B579" s="242" t="s">
        <v>678</v>
      </c>
      <c r="C579" s="242" t="s">
        <v>354</v>
      </c>
      <c r="D579" s="242" t="s">
        <v>364</v>
      </c>
      <c r="E579" s="453">
        <v>18652300</v>
      </c>
      <c r="F579" s="451">
        <v>18652300</v>
      </c>
      <c r="G579" s="459">
        <f t="shared" si="8"/>
        <v>100</v>
      </c>
    </row>
    <row r="580" spans="1:7" ht="165.75">
      <c r="A580" s="241" t="s">
        <v>2199</v>
      </c>
      <c r="B580" s="242" t="s">
        <v>2200</v>
      </c>
      <c r="C580" s="242"/>
      <c r="D580" s="242"/>
      <c r="E580" s="453">
        <v>1531700</v>
      </c>
      <c r="F580" s="451">
        <v>1531700</v>
      </c>
      <c r="G580" s="459">
        <f t="shared" si="8"/>
        <v>100</v>
      </c>
    </row>
    <row r="581" spans="1:7">
      <c r="A581" s="241" t="s">
        <v>1321</v>
      </c>
      <c r="B581" s="242" t="s">
        <v>2200</v>
      </c>
      <c r="C581" s="242" t="s">
        <v>1322</v>
      </c>
      <c r="D581" s="242"/>
      <c r="E581" s="453">
        <v>1531700</v>
      </c>
      <c r="F581" s="451">
        <v>1531700</v>
      </c>
      <c r="G581" s="459">
        <f t="shared" si="8"/>
        <v>100</v>
      </c>
    </row>
    <row r="582" spans="1:7" ht="38.25">
      <c r="A582" s="241" t="s">
        <v>1206</v>
      </c>
      <c r="B582" s="242" t="s">
        <v>2200</v>
      </c>
      <c r="C582" s="242" t="s">
        <v>354</v>
      </c>
      <c r="D582" s="242"/>
      <c r="E582" s="453">
        <v>1531700</v>
      </c>
      <c r="F582" s="451">
        <v>1531700</v>
      </c>
      <c r="G582" s="459">
        <f t="shared" si="8"/>
        <v>100</v>
      </c>
    </row>
    <row r="583" spans="1:7">
      <c r="A583" s="241" t="s">
        <v>239</v>
      </c>
      <c r="B583" s="242" t="s">
        <v>2200</v>
      </c>
      <c r="C583" s="242" t="s">
        <v>354</v>
      </c>
      <c r="D583" s="242" t="s">
        <v>1141</v>
      </c>
      <c r="E583" s="453">
        <v>1531700</v>
      </c>
      <c r="F583" s="451">
        <v>1531700</v>
      </c>
      <c r="G583" s="459">
        <f t="shared" ref="G583:G646" si="9">F583/E583*100</f>
        <v>100</v>
      </c>
    </row>
    <row r="584" spans="1:7">
      <c r="A584" s="241" t="s">
        <v>146</v>
      </c>
      <c r="B584" s="242" t="s">
        <v>2200</v>
      </c>
      <c r="C584" s="242" t="s">
        <v>354</v>
      </c>
      <c r="D584" s="242" t="s">
        <v>364</v>
      </c>
      <c r="E584" s="453">
        <v>1531700</v>
      </c>
      <c r="F584" s="451">
        <v>1531700</v>
      </c>
      <c r="G584" s="459">
        <f t="shared" si="9"/>
        <v>100</v>
      </c>
    </row>
    <row r="585" spans="1:7" ht="127.5">
      <c r="A585" s="241" t="s">
        <v>2201</v>
      </c>
      <c r="B585" s="242" t="s">
        <v>2202</v>
      </c>
      <c r="C585" s="242"/>
      <c r="D585" s="242"/>
      <c r="E585" s="453">
        <v>2000000</v>
      </c>
      <c r="F585" s="451">
        <v>2000000</v>
      </c>
      <c r="G585" s="459">
        <f t="shared" si="9"/>
        <v>100</v>
      </c>
    </row>
    <row r="586" spans="1:7">
      <c r="A586" s="241" t="s">
        <v>1321</v>
      </c>
      <c r="B586" s="242" t="s">
        <v>2202</v>
      </c>
      <c r="C586" s="242" t="s">
        <v>1322</v>
      </c>
      <c r="D586" s="242"/>
      <c r="E586" s="453">
        <v>2000000</v>
      </c>
      <c r="F586" s="451">
        <v>2000000</v>
      </c>
      <c r="G586" s="459">
        <f t="shared" si="9"/>
        <v>100</v>
      </c>
    </row>
    <row r="587" spans="1:7" ht="38.25">
      <c r="A587" s="241" t="s">
        <v>1206</v>
      </c>
      <c r="B587" s="242" t="s">
        <v>2202</v>
      </c>
      <c r="C587" s="242" t="s">
        <v>354</v>
      </c>
      <c r="D587" s="242"/>
      <c r="E587" s="453">
        <v>2000000</v>
      </c>
      <c r="F587" s="451">
        <v>2000000</v>
      </c>
      <c r="G587" s="459">
        <f t="shared" si="9"/>
        <v>100</v>
      </c>
    </row>
    <row r="588" spans="1:7">
      <c r="A588" s="241" t="s">
        <v>239</v>
      </c>
      <c r="B588" s="242" t="s">
        <v>2202</v>
      </c>
      <c r="C588" s="242" t="s">
        <v>354</v>
      </c>
      <c r="D588" s="242" t="s">
        <v>1141</v>
      </c>
      <c r="E588" s="453">
        <v>2000000</v>
      </c>
      <c r="F588" s="451">
        <v>2000000</v>
      </c>
      <c r="G588" s="459">
        <f t="shared" si="9"/>
        <v>100</v>
      </c>
    </row>
    <row r="589" spans="1:7">
      <c r="A589" s="241" t="s">
        <v>146</v>
      </c>
      <c r="B589" s="242" t="s">
        <v>2202</v>
      </c>
      <c r="C589" s="242" t="s">
        <v>354</v>
      </c>
      <c r="D589" s="242" t="s">
        <v>364</v>
      </c>
      <c r="E589" s="453">
        <v>2000000</v>
      </c>
      <c r="F589" s="451">
        <v>2000000</v>
      </c>
      <c r="G589" s="459">
        <f t="shared" si="9"/>
        <v>100</v>
      </c>
    </row>
    <row r="590" spans="1:7" ht="140.25">
      <c r="A590" s="241" t="s">
        <v>2219</v>
      </c>
      <c r="B590" s="242" t="s">
        <v>2220</v>
      </c>
      <c r="C590" s="242"/>
      <c r="D590" s="242"/>
      <c r="E590" s="453">
        <v>801142</v>
      </c>
      <c r="F590" s="451">
        <v>801142</v>
      </c>
      <c r="G590" s="459">
        <f t="shared" si="9"/>
        <v>100</v>
      </c>
    </row>
    <row r="591" spans="1:7">
      <c r="A591" s="241" t="s">
        <v>1321</v>
      </c>
      <c r="B591" s="242" t="s">
        <v>2220</v>
      </c>
      <c r="C591" s="242" t="s">
        <v>1322</v>
      </c>
      <c r="D591" s="242"/>
      <c r="E591" s="453">
        <v>801142</v>
      </c>
      <c r="F591" s="451">
        <v>801142</v>
      </c>
      <c r="G591" s="459">
        <f t="shared" si="9"/>
        <v>100</v>
      </c>
    </row>
    <row r="592" spans="1:7" ht="38.25">
      <c r="A592" s="241" t="s">
        <v>1206</v>
      </c>
      <c r="B592" s="242" t="s">
        <v>2220</v>
      </c>
      <c r="C592" s="242" t="s">
        <v>354</v>
      </c>
      <c r="D592" s="242"/>
      <c r="E592" s="453">
        <v>801142</v>
      </c>
      <c r="F592" s="451">
        <v>801142</v>
      </c>
      <c r="G592" s="459">
        <f t="shared" si="9"/>
        <v>100</v>
      </c>
    </row>
    <row r="593" spans="1:7">
      <c r="A593" s="241" t="s">
        <v>239</v>
      </c>
      <c r="B593" s="242" t="s">
        <v>2220</v>
      </c>
      <c r="C593" s="242" t="s">
        <v>354</v>
      </c>
      <c r="D593" s="242" t="s">
        <v>1141</v>
      </c>
      <c r="E593" s="453">
        <v>801142</v>
      </c>
      <c r="F593" s="451">
        <v>801142</v>
      </c>
      <c r="G593" s="459">
        <f t="shared" si="9"/>
        <v>100</v>
      </c>
    </row>
    <row r="594" spans="1:7">
      <c r="A594" s="241" t="s">
        <v>146</v>
      </c>
      <c r="B594" s="242" t="s">
        <v>2220</v>
      </c>
      <c r="C594" s="242" t="s">
        <v>354</v>
      </c>
      <c r="D594" s="242" t="s">
        <v>364</v>
      </c>
      <c r="E594" s="453">
        <v>801142</v>
      </c>
      <c r="F594" s="451">
        <v>801142</v>
      </c>
      <c r="G594" s="459">
        <f t="shared" si="9"/>
        <v>100</v>
      </c>
    </row>
    <row r="595" spans="1:7" ht="102">
      <c r="A595" s="241" t="s">
        <v>1314</v>
      </c>
      <c r="B595" s="242" t="s">
        <v>1315</v>
      </c>
      <c r="C595" s="242"/>
      <c r="D595" s="242"/>
      <c r="E595" s="453">
        <v>2344392.61</v>
      </c>
      <c r="F595" s="451">
        <v>2344392.61</v>
      </c>
      <c r="G595" s="459">
        <f t="shared" si="9"/>
        <v>100</v>
      </c>
    </row>
    <row r="596" spans="1:7" ht="63.75">
      <c r="A596" s="241" t="s">
        <v>1318</v>
      </c>
      <c r="B596" s="242" t="s">
        <v>1315</v>
      </c>
      <c r="C596" s="242" t="s">
        <v>273</v>
      </c>
      <c r="D596" s="242"/>
      <c r="E596" s="453">
        <v>1474237.37</v>
      </c>
      <c r="F596" s="451">
        <v>1474237.37</v>
      </c>
      <c r="G596" s="459">
        <f t="shared" si="9"/>
        <v>100</v>
      </c>
    </row>
    <row r="597" spans="1:7">
      <c r="A597" s="241" t="s">
        <v>1190</v>
      </c>
      <c r="B597" s="242" t="s">
        <v>1315</v>
      </c>
      <c r="C597" s="242" t="s">
        <v>133</v>
      </c>
      <c r="D597" s="242"/>
      <c r="E597" s="453">
        <v>1474237.37</v>
      </c>
      <c r="F597" s="451">
        <v>1474237.37</v>
      </c>
      <c r="G597" s="459">
        <f t="shared" si="9"/>
        <v>100</v>
      </c>
    </row>
    <row r="598" spans="1:7">
      <c r="A598" s="241" t="s">
        <v>239</v>
      </c>
      <c r="B598" s="242" t="s">
        <v>1315</v>
      </c>
      <c r="C598" s="242" t="s">
        <v>133</v>
      </c>
      <c r="D598" s="242" t="s">
        <v>1141</v>
      </c>
      <c r="E598" s="453">
        <v>1474237.37</v>
      </c>
      <c r="F598" s="451">
        <v>1474237.37</v>
      </c>
      <c r="G598" s="459">
        <f t="shared" si="9"/>
        <v>100</v>
      </c>
    </row>
    <row r="599" spans="1:7">
      <c r="A599" s="241" t="s">
        <v>146</v>
      </c>
      <c r="B599" s="242" t="s">
        <v>1315</v>
      </c>
      <c r="C599" s="242" t="s">
        <v>133</v>
      </c>
      <c r="D599" s="242" t="s">
        <v>364</v>
      </c>
      <c r="E599" s="453">
        <v>1474237.37</v>
      </c>
      <c r="F599" s="451">
        <v>1474237.37</v>
      </c>
      <c r="G599" s="459">
        <f t="shared" si="9"/>
        <v>100</v>
      </c>
    </row>
    <row r="600" spans="1:7" ht="25.5">
      <c r="A600" s="241" t="s">
        <v>1319</v>
      </c>
      <c r="B600" s="242" t="s">
        <v>1315</v>
      </c>
      <c r="C600" s="242" t="s">
        <v>1320</v>
      </c>
      <c r="D600" s="242"/>
      <c r="E600" s="453">
        <v>870155.24</v>
      </c>
      <c r="F600" s="451">
        <v>870155.24</v>
      </c>
      <c r="G600" s="459">
        <f t="shared" si="9"/>
        <v>100</v>
      </c>
    </row>
    <row r="601" spans="1:7" ht="25.5">
      <c r="A601" s="241" t="s">
        <v>1196</v>
      </c>
      <c r="B601" s="242" t="s">
        <v>1315</v>
      </c>
      <c r="C601" s="242" t="s">
        <v>1197</v>
      </c>
      <c r="D601" s="242"/>
      <c r="E601" s="453">
        <v>870155.24</v>
      </c>
      <c r="F601" s="451">
        <v>870155.24</v>
      </c>
      <c r="G601" s="459">
        <f t="shared" si="9"/>
        <v>100</v>
      </c>
    </row>
    <row r="602" spans="1:7">
      <c r="A602" s="241" t="s">
        <v>239</v>
      </c>
      <c r="B602" s="242" t="s">
        <v>1315</v>
      </c>
      <c r="C602" s="242" t="s">
        <v>1197</v>
      </c>
      <c r="D602" s="242" t="s">
        <v>1141</v>
      </c>
      <c r="E602" s="453">
        <v>870155.24</v>
      </c>
      <c r="F602" s="451">
        <v>870155.24</v>
      </c>
      <c r="G602" s="459">
        <f t="shared" si="9"/>
        <v>100</v>
      </c>
    </row>
    <row r="603" spans="1:7">
      <c r="A603" s="241" t="s">
        <v>146</v>
      </c>
      <c r="B603" s="242" t="s">
        <v>1315</v>
      </c>
      <c r="C603" s="242" t="s">
        <v>1197</v>
      </c>
      <c r="D603" s="242" t="s">
        <v>364</v>
      </c>
      <c r="E603" s="453">
        <v>870155.24</v>
      </c>
      <c r="F603" s="451">
        <v>870155.24</v>
      </c>
      <c r="G603" s="459">
        <f t="shared" si="9"/>
        <v>100</v>
      </c>
    </row>
    <row r="604" spans="1:7" ht="153">
      <c r="A604" s="241" t="s">
        <v>1369</v>
      </c>
      <c r="B604" s="242" t="s">
        <v>1370</v>
      </c>
      <c r="C604" s="242"/>
      <c r="D604" s="242"/>
      <c r="E604" s="453">
        <v>181756.37</v>
      </c>
      <c r="F604" s="451">
        <v>181756.37</v>
      </c>
      <c r="G604" s="459">
        <f t="shared" si="9"/>
        <v>100</v>
      </c>
    </row>
    <row r="605" spans="1:7" ht="63.75">
      <c r="A605" s="241" t="s">
        <v>1318</v>
      </c>
      <c r="B605" s="242" t="s">
        <v>1370</v>
      </c>
      <c r="C605" s="242" t="s">
        <v>273</v>
      </c>
      <c r="D605" s="242"/>
      <c r="E605" s="453">
        <v>181756.37</v>
      </c>
      <c r="F605" s="451">
        <v>181756.37</v>
      </c>
      <c r="G605" s="459">
        <f t="shared" si="9"/>
        <v>100</v>
      </c>
    </row>
    <row r="606" spans="1:7">
      <c r="A606" s="241" t="s">
        <v>1190</v>
      </c>
      <c r="B606" s="242" t="s">
        <v>1370</v>
      </c>
      <c r="C606" s="242" t="s">
        <v>133</v>
      </c>
      <c r="D606" s="242"/>
      <c r="E606" s="453">
        <v>181756.37</v>
      </c>
      <c r="F606" s="451">
        <v>181756.37</v>
      </c>
      <c r="G606" s="459">
        <f t="shared" si="9"/>
        <v>100</v>
      </c>
    </row>
    <row r="607" spans="1:7">
      <c r="A607" s="241" t="s">
        <v>239</v>
      </c>
      <c r="B607" s="242" t="s">
        <v>1370</v>
      </c>
      <c r="C607" s="242" t="s">
        <v>133</v>
      </c>
      <c r="D607" s="242" t="s">
        <v>1141</v>
      </c>
      <c r="E607" s="453">
        <v>181756.37</v>
      </c>
      <c r="F607" s="451">
        <v>181756.37</v>
      </c>
      <c r="G607" s="459">
        <f t="shared" si="9"/>
        <v>100</v>
      </c>
    </row>
    <row r="608" spans="1:7">
      <c r="A608" s="241" t="s">
        <v>146</v>
      </c>
      <c r="B608" s="242" t="s">
        <v>1370</v>
      </c>
      <c r="C608" s="242" t="s">
        <v>133</v>
      </c>
      <c r="D608" s="242" t="s">
        <v>364</v>
      </c>
      <c r="E608" s="453">
        <v>181756.37</v>
      </c>
      <c r="F608" s="451">
        <v>181756.37</v>
      </c>
      <c r="G608" s="459">
        <f t="shared" si="9"/>
        <v>100</v>
      </c>
    </row>
    <row r="609" spans="1:7" ht="38.25">
      <c r="A609" s="241" t="s">
        <v>592</v>
      </c>
      <c r="B609" s="242" t="s">
        <v>976</v>
      </c>
      <c r="C609" s="242"/>
      <c r="D609" s="242"/>
      <c r="E609" s="453">
        <v>618517.54</v>
      </c>
      <c r="F609" s="451">
        <v>618517.54</v>
      </c>
      <c r="G609" s="459">
        <f t="shared" si="9"/>
        <v>100</v>
      </c>
    </row>
    <row r="610" spans="1:7" ht="89.25">
      <c r="A610" s="241" t="s">
        <v>529</v>
      </c>
      <c r="B610" s="242" t="s">
        <v>737</v>
      </c>
      <c r="C610" s="242"/>
      <c r="D610" s="242"/>
      <c r="E610" s="453">
        <v>618517.54</v>
      </c>
      <c r="F610" s="451">
        <v>618517.54</v>
      </c>
      <c r="G610" s="459">
        <f t="shared" si="9"/>
        <v>100</v>
      </c>
    </row>
    <row r="611" spans="1:7" ht="25.5">
      <c r="A611" s="241" t="s">
        <v>1319</v>
      </c>
      <c r="B611" s="242" t="s">
        <v>737</v>
      </c>
      <c r="C611" s="242" t="s">
        <v>1320</v>
      </c>
      <c r="D611" s="242"/>
      <c r="E611" s="453">
        <v>618517.54</v>
      </c>
      <c r="F611" s="451">
        <v>618517.54</v>
      </c>
      <c r="G611" s="459">
        <f t="shared" si="9"/>
        <v>100</v>
      </c>
    </row>
    <row r="612" spans="1:7" ht="25.5">
      <c r="A612" s="241" t="s">
        <v>1196</v>
      </c>
      <c r="B612" s="242" t="s">
        <v>737</v>
      </c>
      <c r="C612" s="242" t="s">
        <v>1197</v>
      </c>
      <c r="D612" s="242"/>
      <c r="E612" s="453">
        <v>618517.54</v>
      </c>
      <c r="F612" s="451">
        <v>618517.54</v>
      </c>
      <c r="G612" s="459">
        <f t="shared" si="9"/>
        <v>100</v>
      </c>
    </row>
    <row r="613" spans="1:7">
      <c r="A613" s="241" t="s">
        <v>239</v>
      </c>
      <c r="B613" s="242" t="s">
        <v>737</v>
      </c>
      <c r="C613" s="242" t="s">
        <v>1197</v>
      </c>
      <c r="D613" s="242" t="s">
        <v>1141</v>
      </c>
      <c r="E613" s="453">
        <v>618517.54</v>
      </c>
      <c r="F613" s="451">
        <v>618517.54</v>
      </c>
      <c r="G613" s="459">
        <f t="shared" si="9"/>
        <v>100</v>
      </c>
    </row>
    <row r="614" spans="1:7">
      <c r="A614" s="241" t="s">
        <v>3</v>
      </c>
      <c r="B614" s="242" t="s">
        <v>737</v>
      </c>
      <c r="C614" s="242" t="s">
        <v>1197</v>
      </c>
      <c r="D614" s="242" t="s">
        <v>386</v>
      </c>
      <c r="E614" s="453">
        <v>618517.54</v>
      </c>
      <c r="F614" s="451">
        <v>618517.54</v>
      </c>
      <c r="G614" s="459">
        <f t="shared" si="9"/>
        <v>100</v>
      </c>
    </row>
    <row r="615" spans="1:7" ht="38.25">
      <c r="A615" s="241" t="s">
        <v>454</v>
      </c>
      <c r="B615" s="242" t="s">
        <v>1313</v>
      </c>
      <c r="C615" s="242"/>
      <c r="D615" s="242"/>
      <c r="E615" s="453">
        <v>2381000</v>
      </c>
      <c r="F615" s="451">
        <v>2381000</v>
      </c>
      <c r="G615" s="459">
        <f t="shared" si="9"/>
        <v>100</v>
      </c>
    </row>
    <row r="616" spans="1:7" ht="76.5">
      <c r="A616" s="241" t="s">
        <v>396</v>
      </c>
      <c r="B616" s="242" t="s">
        <v>765</v>
      </c>
      <c r="C616" s="242"/>
      <c r="D616" s="242"/>
      <c r="E616" s="453">
        <v>2381000</v>
      </c>
      <c r="F616" s="451">
        <v>2381000</v>
      </c>
      <c r="G616" s="459">
        <f t="shared" si="9"/>
        <v>100</v>
      </c>
    </row>
    <row r="617" spans="1:7" ht="25.5">
      <c r="A617" s="241" t="s">
        <v>1319</v>
      </c>
      <c r="B617" s="242" t="s">
        <v>765</v>
      </c>
      <c r="C617" s="242" t="s">
        <v>1320</v>
      </c>
      <c r="D617" s="242"/>
      <c r="E617" s="453">
        <v>2381000</v>
      </c>
      <c r="F617" s="451">
        <v>2381000</v>
      </c>
      <c r="G617" s="459">
        <f t="shared" si="9"/>
        <v>100</v>
      </c>
    </row>
    <row r="618" spans="1:7" ht="25.5">
      <c r="A618" s="241" t="s">
        <v>1196</v>
      </c>
      <c r="B618" s="242" t="s">
        <v>765</v>
      </c>
      <c r="C618" s="242" t="s">
        <v>1197</v>
      </c>
      <c r="D618" s="242"/>
      <c r="E618" s="453">
        <v>2381000</v>
      </c>
      <c r="F618" s="451">
        <v>2381000</v>
      </c>
      <c r="G618" s="459">
        <f t="shared" si="9"/>
        <v>100</v>
      </c>
    </row>
    <row r="619" spans="1:7">
      <c r="A619" s="241" t="s">
        <v>140</v>
      </c>
      <c r="B619" s="242" t="s">
        <v>765</v>
      </c>
      <c r="C619" s="242" t="s">
        <v>1197</v>
      </c>
      <c r="D619" s="242" t="s">
        <v>1142</v>
      </c>
      <c r="E619" s="453">
        <v>2381000</v>
      </c>
      <c r="F619" s="451">
        <v>2381000</v>
      </c>
      <c r="G619" s="459">
        <f t="shared" si="9"/>
        <v>100</v>
      </c>
    </row>
    <row r="620" spans="1:7">
      <c r="A620" s="241" t="s">
        <v>153</v>
      </c>
      <c r="B620" s="242" t="s">
        <v>765</v>
      </c>
      <c r="C620" s="242" t="s">
        <v>1197</v>
      </c>
      <c r="D620" s="242" t="s">
        <v>395</v>
      </c>
      <c r="E620" s="453">
        <v>2381000</v>
      </c>
      <c r="F620" s="451">
        <v>2381000</v>
      </c>
      <c r="G620" s="459">
        <f t="shared" si="9"/>
        <v>100</v>
      </c>
    </row>
    <row r="621" spans="1:7" ht="38.25">
      <c r="A621" s="241" t="s">
        <v>593</v>
      </c>
      <c r="B621" s="242" t="s">
        <v>977</v>
      </c>
      <c r="C621" s="242"/>
      <c r="D621" s="242"/>
      <c r="E621" s="453">
        <v>199655118.27000001</v>
      </c>
      <c r="F621" s="451">
        <v>141388362.66999999</v>
      </c>
      <c r="G621" s="459">
        <f t="shared" si="9"/>
        <v>70.816297571092562</v>
      </c>
    </row>
    <row r="622" spans="1:7" ht="89.25">
      <c r="A622" s="241" t="s">
        <v>387</v>
      </c>
      <c r="B622" s="242" t="s">
        <v>693</v>
      </c>
      <c r="C622" s="242"/>
      <c r="D622" s="242"/>
      <c r="E622" s="453">
        <v>10097916.189999999</v>
      </c>
      <c r="F622" s="451">
        <v>9820485.7899999991</v>
      </c>
      <c r="G622" s="459">
        <f t="shared" si="9"/>
        <v>97.252597518340067</v>
      </c>
    </row>
    <row r="623" spans="1:7" ht="25.5">
      <c r="A623" s="241" t="s">
        <v>1319</v>
      </c>
      <c r="B623" s="242" t="s">
        <v>693</v>
      </c>
      <c r="C623" s="242" t="s">
        <v>1320</v>
      </c>
      <c r="D623" s="242"/>
      <c r="E623" s="453">
        <v>8058307.7199999997</v>
      </c>
      <c r="F623" s="451">
        <v>7780877.3200000003</v>
      </c>
      <c r="G623" s="459">
        <f t="shared" si="9"/>
        <v>96.557212635210718</v>
      </c>
    </row>
    <row r="624" spans="1:7" ht="25.5">
      <c r="A624" s="241" t="s">
        <v>1196</v>
      </c>
      <c r="B624" s="242" t="s">
        <v>693</v>
      </c>
      <c r="C624" s="242" t="s">
        <v>1197</v>
      </c>
      <c r="D624" s="242"/>
      <c r="E624" s="453">
        <v>8058307.7199999997</v>
      </c>
      <c r="F624" s="451">
        <v>7780877.3200000003</v>
      </c>
      <c r="G624" s="459">
        <f t="shared" si="9"/>
        <v>96.557212635210718</v>
      </c>
    </row>
    <row r="625" spans="1:7">
      <c r="A625" s="241" t="s">
        <v>239</v>
      </c>
      <c r="B625" s="242" t="s">
        <v>693</v>
      </c>
      <c r="C625" s="242" t="s">
        <v>1197</v>
      </c>
      <c r="D625" s="242" t="s">
        <v>1141</v>
      </c>
      <c r="E625" s="453">
        <v>8058307.7199999997</v>
      </c>
      <c r="F625" s="451">
        <v>7780877.3200000003</v>
      </c>
      <c r="G625" s="459">
        <f t="shared" si="9"/>
        <v>96.557212635210718</v>
      </c>
    </row>
    <row r="626" spans="1:7">
      <c r="A626" s="241" t="s">
        <v>146</v>
      </c>
      <c r="B626" s="242" t="s">
        <v>693</v>
      </c>
      <c r="C626" s="242" t="s">
        <v>1197</v>
      </c>
      <c r="D626" s="242" t="s">
        <v>364</v>
      </c>
      <c r="E626" s="453">
        <v>8058307.7200000007</v>
      </c>
      <c r="F626" s="451">
        <v>7780877.3200000003</v>
      </c>
      <c r="G626" s="459">
        <f t="shared" si="9"/>
        <v>96.557212635210703</v>
      </c>
    </row>
    <row r="627" spans="1:7" ht="25.5">
      <c r="A627" s="241" t="s">
        <v>1325</v>
      </c>
      <c r="B627" s="242" t="s">
        <v>693</v>
      </c>
      <c r="C627" s="242" t="s">
        <v>1326</v>
      </c>
      <c r="D627" s="242"/>
      <c r="E627" s="453">
        <v>2039608.47</v>
      </c>
      <c r="F627" s="451">
        <v>2039608.47</v>
      </c>
      <c r="G627" s="459">
        <f t="shared" si="9"/>
        <v>100</v>
      </c>
    </row>
    <row r="628" spans="1:7">
      <c r="A628" s="241" t="s">
        <v>1207</v>
      </c>
      <c r="B628" s="242" t="s">
        <v>693</v>
      </c>
      <c r="C628" s="242" t="s">
        <v>75</v>
      </c>
      <c r="D628" s="242"/>
      <c r="E628" s="453">
        <v>2039608.47</v>
      </c>
      <c r="F628" s="451">
        <v>2039608.47</v>
      </c>
      <c r="G628" s="459">
        <f t="shared" si="9"/>
        <v>100</v>
      </c>
    </row>
    <row r="629" spans="1:7">
      <c r="A629" s="241" t="s">
        <v>239</v>
      </c>
      <c r="B629" s="242" t="s">
        <v>693</v>
      </c>
      <c r="C629" s="242" t="s">
        <v>75</v>
      </c>
      <c r="D629" s="242" t="s">
        <v>1141</v>
      </c>
      <c r="E629" s="453">
        <v>2039608.47</v>
      </c>
      <c r="F629" s="451">
        <v>2039608.47</v>
      </c>
      <c r="G629" s="459">
        <f t="shared" si="9"/>
        <v>100</v>
      </c>
    </row>
    <row r="630" spans="1:7">
      <c r="A630" s="241" t="s">
        <v>146</v>
      </c>
      <c r="B630" s="242" t="s">
        <v>693</v>
      </c>
      <c r="C630" s="242" t="s">
        <v>75</v>
      </c>
      <c r="D630" s="242" t="s">
        <v>364</v>
      </c>
      <c r="E630" s="453">
        <v>2039608.47</v>
      </c>
      <c r="F630" s="451">
        <v>2039608.47</v>
      </c>
      <c r="G630" s="459">
        <f t="shared" si="9"/>
        <v>100</v>
      </c>
    </row>
    <row r="631" spans="1:7" ht="114.75">
      <c r="A631" s="241" t="s">
        <v>2141</v>
      </c>
      <c r="B631" s="242" t="s">
        <v>2142</v>
      </c>
      <c r="C631" s="242"/>
      <c r="D631" s="242"/>
      <c r="E631" s="453">
        <v>186556.88</v>
      </c>
      <c r="F631" s="451">
        <v>186556.88</v>
      </c>
      <c r="G631" s="459">
        <f t="shared" si="9"/>
        <v>100</v>
      </c>
    </row>
    <row r="632" spans="1:7" ht="25.5">
      <c r="A632" s="241" t="s">
        <v>1319</v>
      </c>
      <c r="B632" s="242" t="s">
        <v>2142</v>
      </c>
      <c r="C632" s="242" t="s">
        <v>1320</v>
      </c>
      <c r="D632" s="242"/>
      <c r="E632" s="453">
        <v>186556.88</v>
      </c>
      <c r="F632" s="451">
        <v>186556.88</v>
      </c>
      <c r="G632" s="459">
        <f t="shared" si="9"/>
        <v>100</v>
      </c>
    </row>
    <row r="633" spans="1:7" ht="25.5">
      <c r="A633" s="241" t="s">
        <v>1196</v>
      </c>
      <c r="B633" s="242" t="s">
        <v>2142</v>
      </c>
      <c r="C633" s="242" t="s">
        <v>1197</v>
      </c>
      <c r="D633" s="242"/>
      <c r="E633" s="453">
        <v>186556.88</v>
      </c>
      <c r="F633" s="451">
        <v>186556.88</v>
      </c>
      <c r="G633" s="459">
        <f t="shared" si="9"/>
        <v>100</v>
      </c>
    </row>
    <row r="634" spans="1:7">
      <c r="A634" s="241" t="s">
        <v>239</v>
      </c>
      <c r="B634" s="242" t="s">
        <v>2142</v>
      </c>
      <c r="C634" s="242" t="s">
        <v>1197</v>
      </c>
      <c r="D634" s="242" t="s">
        <v>1141</v>
      </c>
      <c r="E634" s="453">
        <v>186556.88</v>
      </c>
      <c r="F634" s="451">
        <v>186556.88</v>
      </c>
      <c r="G634" s="459">
        <f t="shared" si="9"/>
        <v>100</v>
      </c>
    </row>
    <row r="635" spans="1:7">
      <c r="A635" s="241" t="s">
        <v>146</v>
      </c>
      <c r="B635" s="242" t="s">
        <v>2142</v>
      </c>
      <c r="C635" s="242" t="s">
        <v>1197</v>
      </c>
      <c r="D635" s="242" t="s">
        <v>364</v>
      </c>
      <c r="E635" s="453">
        <v>186556.88</v>
      </c>
      <c r="F635" s="451">
        <v>186556.88</v>
      </c>
      <c r="G635" s="459">
        <f t="shared" si="9"/>
        <v>100</v>
      </c>
    </row>
    <row r="636" spans="1:7" ht="102">
      <c r="A636" s="241" t="s">
        <v>1769</v>
      </c>
      <c r="B636" s="242" t="s">
        <v>1500</v>
      </c>
      <c r="C636" s="242"/>
      <c r="D636" s="242"/>
      <c r="E636" s="453">
        <v>2183000</v>
      </c>
      <c r="F636" s="451">
        <v>2183000</v>
      </c>
      <c r="G636" s="459">
        <f t="shared" si="9"/>
        <v>100</v>
      </c>
    </row>
    <row r="637" spans="1:7" ht="25.5">
      <c r="A637" s="241" t="s">
        <v>1319</v>
      </c>
      <c r="B637" s="242" t="s">
        <v>1500</v>
      </c>
      <c r="C637" s="242" t="s">
        <v>1320</v>
      </c>
      <c r="D637" s="242"/>
      <c r="E637" s="453">
        <v>2183000</v>
      </c>
      <c r="F637" s="451">
        <v>2183000</v>
      </c>
      <c r="G637" s="459">
        <f t="shared" si="9"/>
        <v>100</v>
      </c>
    </row>
    <row r="638" spans="1:7" ht="25.5">
      <c r="A638" s="241" t="s">
        <v>1196</v>
      </c>
      <c r="B638" s="242" t="s">
        <v>1500</v>
      </c>
      <c r="C638" s="242" t="s">
        <v>1197</v>
      </c>
      <c r="D638" s="242"/>
      <c r="E638" s="453">
        <v>2183000</v>
      </c>
      <c r="F638" s="451">
        <v>2183000</v>
      </c>
      <c r="G638" s="459">
        <f t="shared" si="9"/>
        <v>100</v>
      </c>
    </row>
    <row r="639" spans="1:7">
      <c r="A639" s="241" t="s">
        <v>239</v>
      </c>
      <c r="B639" s="242" t="s">
        <v>1500</v>
      </c>
      <c r="C639" s="242" t="s">
        <v>1197</v>
      </c>
      <c r="D639" s="242" t="s">
        <v>1141</v>
      </c>
      <c r="E639" s="453">
        <v>2183000</v>
      </c>
      <c r="F639" s="451">
        <v>2183000</v>
      </c>
      <c r="G639" s="459">
        <f t="shared" si="9"/>
        <v>100</v>
      </c>
    </row>
    <row r="640" spans="1:7">
      <c r="A640" s="241" t="s">
        <v>146</v>
      </c>
      <c r="B640" s="242" t="s">
        <v>1500</v>
      </c>
      <c r="C640" s="242" t="s">
        <v>1197</v>
      </c>
      <c r="D640" s="242" t="s">
        <v>364</v>
      </c>
      <c r="E640" s="453">
        <v>2183000</v>
      </c>
      <c r="F640" s="451">
        <v>2183000</v>
      </c>
      <c r="G640" s="459">
        <f t="shared" si="9"/>
        <v>100</v>
      </c>
    </row>
    <row r="641" spans="1:7" ht="204">
      <c r="A641" s="241" t="s">
        <v>1511</v>
      </c>
      <c r="B641" s="242" t="s">
        <v>1501</v>
      </c>
      <c r="C641" s="242"/>
      <c r="D641" s="242"/>
      <c r="E641" s="453">
        <v>187187645.19999999</v>
      </c>
      <c r="F641" s="451">
        <v>129198320</v>
      </c>
      <c r="G641" s="459">
        <f t="shared" si="9"/>
        <v>69.020751803335372</v>
      </c>
    </row>
    <row r="642" spans="1:7" ht="25.5">
      <c r="A642" s="241" t="s">
        <v>1319</v>
      </c>
      <c r="B642" s="242" t="s">
        <v>1501</v>
      </c>
      <c r="C642" s="242" t="s">
        <v>1320</v>
      </c>
      <c r="D642" s="242"/>
      <c r="E642" s="453">
        <v>187187645.19999999</v>
      </c>
      <c r="F642" s="451">
        <v>129198320</v>
      </c>
      <c r="G642" s="459">
        <f t="shared" si="9"/>
        <v>69.020751803335372</v>
      </c>
    </row>
    <row r="643" spans="1:7" ht="25.5">
      <c r="A643" s="241" t="s">
        <v>1196</v>
      </c>
      <c r="B643" s="242" t="s">
        <v>1501</v>
      </c>
      <c r="C643" s="242" t="s">
        <v>1197</v>
      </c>
      <c r="D643" s="242"/>
      <c r="E643" s="453">
        <v>187187645.19999999</v>
      </c>
      <c r="F643" s="451">
        <v>129198320</v>
      </c>
      <c r="G643" s="459">
        <f t="shared" si="9"/>
        <v>69.020751803335372</v>
      </c>
    </row>
    <row r="644" spans="1:7">
      <c r="A644" s="241" t="s">
        <v>239</v>
      </c>
      <c r="B644" s="242" t="s">
        <v>1501</v>
      </c>
      <c r="C644" s="242" t="s">
        <v>1197</v>
      </c>
      <c r="D644" s="242" t="s">
        <v>1141</v>
      </c>
      <c r="E644" s="453">
        <v>187187645.19999999</v>
      </c>
      <c r="F644" s="451">
        <v>129198320</v>
      </c>
      <c r="G644" s="459">
        <f t="shared" si="9"/>
        <v>69.020751803335372</v>
      </c>
    </row>
    <row r="645" spans="1:7">
      <c r="A645" s="241" t="s">
        <v>146</v>
      </c>
      <c r="B645" s="242" t="s">
        <v>1501</v>
      </c>
      <c r="C645" s="242" t="s">
        <v>1197</v>
      </c>
      <c r="D645" s="242" t="s">
        <v>364</v>
      </c>
      <c r="E645" s="453">
        <v>187187645.19999999</v>
      </c>
      <c r="F645" s="451">
        <v>129198320</v>
      </c>
      <c r="G645" s="459">
        <f t="shared" si="9"/>
        <v>69.020751803335372</v>
      </c>
    </row>
    <row r="646" spans="1:7" ht="25.5">
      <c r="A646" s="241" t="s">
        <v>1948</v>
      </c>
      <c r="B646" s="242" t="s">
        <v>1949</v>
      </c>
      <c r="C646" s="242"/>
      <c r="D646" s="242"/>
      <c r="E646" s="453">
        <v>6705923.0700000003</v>
      </c>
      <c r="F646" s="451">
        <v>6705923.0700000003</v>
      </c>
      <c r="G646" s="459">
        <f t="shared" si="9"/>
        <v>100</v>
      </c>
    </row>
    <row r="647" spans="1:7" ht="76.5">
      <c r="A647" s="241" t="s">
        <v>878</v>
      </c>
      <c r="B647" s="242" t="s">
        <v>877</v>
      </c>
      <c r="C647" s="242"/>
      <c r="D647" s="242"/>
      <c r="E647" s="453">
        <v>6705923.0700000003</v>
      </c>
      <c r="F647" s="451">
        <v>6705923.0700000003</v>
      </c>
      <c r="G647" s="459">
        <f t="shared" ref="G647:G710" si="10">F647/E647*100</f>
        <v>100</v>
      </c>
    </row>
    <row r="648" spans="1:7" ht="25.5">
      <c r="A648" s="241" t="s">
        <v>1325</v>
      </c>
      <c r="B648" s="242" t="s">
        <v>877</v>
      </c>
      <c r="C648" s="242" t="s">
        <v>1326</v>
      </c>
      <c r="D648" s="242"/>
      <c r="E648" s="453">
        <v>6705923.0700000003</v>
      </c>
      <c r="F648" s="451">
        <v>6705923.0700000003</v>
      </c>
      <c r="G648" s="459">
        <f t="shared" si="10"/>
        <v>100</v>
      </c>
    </row>
    <row r="649" spans="1:7">
      <c r="A649" s="241" t="s">
        <v>1207</v>
      </c>
      <c r="B649" s="242" t="s">
        <v>877</v>
      </c>
      <c r="C649" s="242" t="s">
        <v>75</v>
      </c>
      <c r="D649" s="242"/>
      <c r="E649" s="453">
        <v>6705923.0700000003</v>
      </c>
      <c r="F649" s="451">
        <v>6705923.0700000003</v>
      </c>
      <c r="G649" s="459">
        <f t="shared" si="10"/>
        <v>100</v>
      </c>
    </row>
    <row r="650" spans="1:7">
      <c r="A650" s="241" t="s">
        <v>239</v>
      </c>
      <c r="B650" s="242" t="s">
        <v>877</v>
      </c>
      <c r="C650" s="242" t="s">
        <v>75</v>
      </c>
      <c r="D650" s="242" t="s">
        <v>1141</v>
      </c>
      <c r="E650" s="453">
        <v>6705923.0700000003</v>
      </c>
      <c r="F650" s="451">
        <v>6705923.0700000003</v>
      </c>
      <c r="G650" s="459">
        <f t="shared" si="10"/>
        <v>100</v>
      </c>
    </row>
    <row r="651" spans="1:7">
      <c r="A651" s="241" t="s">
        <v>146</v>
      </c>
      <c r="B651" s="242" t="s">
        <v>877</v>
      </c>
      <c r="C651" s="242" t="s">
        <v>75</v>
      </c>
      <c r="D651" s="242" t="s">
        <v>364</v>
      </c>
      <c r="E651" s="453">
        <v>6705923.0700000003</v>
      </c>
      <c r="F651" s="451">
        <v>6705923.0700000003</v>
      </c>
      <c r="G651" s="459">
        <f t="shared" si="10"/>
        <v>100</v>
      </c>
    </row>
    <row r="652" spans="1:7" ht="51">
      <c r="A652" s="241" t="s">
        <v>1751</v>
      </c>
      <c r="B652" s="242" t="s">
        <v>978</v>
      </c>
      <c r="C652" s="242"/>
      <c r="D652" s="242"/>
      <c r="E652" s="453">
        <v>40640975.439999998</v>
      </c>
      <c r="F652" s="451">
        <v>39314096.240000002</v>
      </c>
      <c r="G652" s="459">
        <f t="shared" si="10"/>
        <v>96.735119702136757</v>
      </c>
    </row>
    <row r="653" spans="1:7" ht="51">
      <c r="A653" s="241" t="s">
        <v>457</v>
      </c>
      <c r="B653" s="242" t="s">
        <v>979</v>
      </c>
      <c r="C653" s="242"/>
      <c r="D653" s="242"/>
      <c r="E653" s="453">
        <v>5657868.6600000001</v>
      </c>
      <c r="F653" s="451">
        <v>4918288</v>
      </c>
      <c r="G653" s="459">
        <f t="shared" si="10"/>
        <v>86.928281576617579</v>
      </c>
    </row>
    <row r="654" spans="1:7" ht="127.5">
      <c r="A654" s="241" t="s">
        <v>2041</v>
      </c>
      <c r="B654" s="242" t="s">
        <v>2042</v>
      </c>
      <c r="C654" s="242"/>
      <c r="D654" s="242"/>
      <c r="E654" s="453">
        <v>783105</v>
      </c>
      <c r="F654" s="451">
        <v>783105</v>
      </c>
      <c r="G654" s="459">
        <f t="shared" si="10"/>
        <v>100</v>
      </c>
    </row>
    <row r="655" spans="1:7" ht="63.75">
      <c r="A655" s="241" t="s">
        <v>1318</v>
      </c>
      <c r="B655" s="242" t="s">
        <v>2042</v>
      </c>
      <c r="C655" s="242" t="s">
        <v>273</v>
      </c>
      <c r="D655" s="242"/>
      <c r="E655" s="453">
        <v>783105</v>
      </c>
      <c r="F655" s="451">
        <v>783105</v>
      </c>
      <c r="G655" s="459">
        <f t="shared" si="10"/>
        <v>100</v>
      </c>
    </row>
    <row r="656" spans="1:7">
      <c r="A656" s="241" t="s">
        <v>1190</v>
      </c>
      <c r="B656" s="242" t="s">
        <v>2042</v>
      </c>
      <c r="C656" s="242" t="s">
        <v>133</v>
      </c>
      <c r="D656" s="242"/>
      <c r="E656" s="453">
        <v>783105</v>
      </c>
      <c r="F656" s="451">
        <v>783105</v>
      </c>
      <c r="G656" s="459">
        <f t="shared" si="10"/>
        <v>100</v>
      </c>
    </row>
    <row r="657" spans="1:7" ht="25.5">
      <c r="A657" s="241" t="s">
        <v>238</v>
      </c>
      <c r="B657" s="242" t="s">
        <v>2042</v>
      </c>
      <c r="C657" s="242" t="s">
        <v>133</v>
      </c>
      <c r="D657" s="242" t="s">
        <v>1137</v>
      </c>
      <c r="E657" s="453">
        <v>783105</v>
      </c>
      <c r="F657" s="451">
        <v>783105</v>
      </c>
      <c r="G657" s="459">
        <f t="shared" si="10"/>
        <v>100</v>
      </c>
    </row>
    <row r="658" spans="1:7" ht="38.25">
      <c r="A658" s="241" t="s">
        <v>1705</v>
      </c>
      <c r="B658" s="242" t="s">
        <v>2042</v>
      </c>
      <c r="C658" s="242" t="s">
        <v>133</v>
      </c>
      <c r="D658" s="242" t="s">
        <v>345</v>
      </c>
      <c r="E658" s="453">
        <v>783105</v>
      </c>
      <c r="F658" s="451">
        <v>783105</v>
      </c>
      <c r="G658" s="459">
        <f t="shared" si="10"/>
        <v>100</v>
      </c>
    </row>
    <row r="659" spans="1:7" ht="114.75">
      <c r="A659" s="241" t="s">
        <v>341</v>
      </c>
      <c r="B659" s="242" t="s">
        <v>656</v>
      </c>
      <c r="C659" s="242"/>
      <c r="D659" s="242"/>
      <c r="E659" s="453">
        <v>4297411.8</v>
      </c>
      <c r="F659" s="451">
        <v>3679879.76</v>
      </c>
      <c r="G659" s="459">
        <f t="shared" si="10"/>
        <v>85.630140448723111</v>
      </c>
    </row>
    <row r="660" spans="1:7" ht="63.75">
      <c r="A660" s="241" t="s">
        <v>1318</v>
      </c>
      <c r="B660" s="242" t="s">
        <v>656</v>
      </c>
      <c r="C660" s="242" t="s">
        <v>273</v>
      </c>
      <c r="D660" s="242"/>
      <c r="E660" s="453">
        <v>4288272</v>
      </c>
      <c r="F660" s="451">
        <v>3670739.96</v>
      </c>
      <c r="G660" s="459">
        <f t="shared" si="10"/>
        <v>85.599513277142876</v>
      </c>
    </row>
    <row r="661" spans="1:7">
      <c r="A661" s="241" t="s">
        <v>1190</v>
      </c>
      <c r="B661" s="242" t="s">
        <v>656</v>
      </c>
      <c r="C661" s="242" t="s">
        <v>133</v>
      </c>
      <c r="D661" s="242"/>
      <c r="E661" s="453">
        <v>4288272</v>
      </c>
      <c r="F661" s="451">
        <v>3670739.96</v>
      </c>
      <c r="G661" s="459">
        <f t="shared" si="10"/>
        <v>85.599513277142876</v>
      </c>
    </row>
    <row r="662" spans="1:7" ht="25.5">
      <c r="A662" s="241" t="s">
        <v>238</v>
      </c>
      <c r="B662" s="242" t="s">
        <v>656</v>
      </c>
      <c r="C662" s="242" t="s">
        <v>133</v>
      </c>
      <c r="D662" s="242" t="s">
        <v>1137</v>
      </c>
      <c r="E662" s="453">
        <v>4288272</v>
      </c>
      <c r="F662" s="451">
        <v>3670739.96</v>
      </c>
      <c r="G662" s="459">
        <f t="shared" si="10"/>
        <v>85.599513277142876</v>
      </c>
    </row>
    <row r="663" spans="1:7" ht="38.25">
      <c r="A663" s="241" t="s">
        <v>1705</v>
      </c>
      <c r="B663" s="242" t="s">
        <v>656</v>
      </c>
      <c r="C663" s="242" t="s">
        <v>133</v>
      </c>
      <c r="D663" s="242" t="s">
        <v>345</v>
      </c>
      <c r="E663" s="453">
        <v>4288272</v>
      </c>
      <c r="F663" s="451">
        <v>3670739.96</v>
      </c>
      <c r="G663" s="459">
        <f t="shared" si="10"/>
        <v>85.599513277142876</v>
      </c>
    </row>
    <row r="664" spans="1:7" ht="25.5">
      <c r="A664" s="241" t="s">
        <v>1319</v>
      </c>
      <c r="B664" s="242" t="s">
        <v>656</v>
      </c>
      <c r="C664" s="242" t="s">
        <v>1320</v>
      </c>
      <c r="D664" s="242"/>
      <c r="E664" s="453">
        <v>9139.7999999999993</v>
      </c>
      <c r="F664" s="451">
        <v>9139.7999999999993</v>
      </c>
      <c r="G664" s="459">
        <f t="shared" si="10"/>
        <v>100</v>
      </c>
    </row>
    <row r="665" spans="1:7" ht="25.5">
      <c r="A665" s="241" t="s">
        <v>1196</v>
      </c>
      <c r="B665" s="242" t="s">
        <v>656</v>
      </c>
      <c r="C665" s="242" t="s">
        <v>1197</v>
      </c>
      <c r="D665" s="242"/>
      <c r="E665" s="453">
        <v>9139.7999999999993</v>
      </c>
      <c r="F665" s="451">
        <v>9139.7999999999993</v>
      </c>
      <c r="G665" s="459">
        <f t="shared" si="10"/>
        <v>100</v>
      </c>
    </row>
    <row r="666" spans="1:7" ht="25.5">
      <c r="A666" s="241" t="s">
        <v>238</v>
      </c>
      <c r="B666" s="242" t="s">
        <v>656</v>
      </c>
      <c r="C666" s="242" t="s">
        <v>1197</v>
      </c>
      <c r="D666" s="242" t="s">
        <v>1137</v>
      </c>
      <c r="E666" s="453">
        <v>9139.7999999999993</v>
      </c>
      <c r="F666" s="451">
        <v>9139.7999999999993</v>
      </c>
      <c r="G666" s="459">
        <f t="shared" si="10"/>
        <v>100</v>
      </c>
    </row>
    <row r="667" spans="1:7" ht="38.25">
      <c r="A667" s="241" t="s">
        <v>1705</v>
      </c>
      <c r="B667" s="242" t="s">
        <v>656</v>
      </c>
      <c r="C667" s="242" t="s">
        <v>1197</v>
      </c>
      <c r="D667" s="242" t="s">
        <v>345</v>
      </c>
      <c r="E667" s="453">
        <v>9139.7999999999993</v>
      </c>
      <c r="F667" s="451">
        <v>9139.7999999999993</v>
      </c>
      <c r="G667" s="459">
        <f t="shared" si="10"/>
        <v>100</v>
      </c>
    </row>
    <row r="668" spans="1:7" ht="127.5">
      <c r="A668" s="241" t="s">
        <v>1702</v>
      </c>
      <c r="B668" s="242" t="s">
        <v>1703</v>
      </c>
      <c r="C668" s="242"/>
      <c r="D668" s="242"/>
      <c r="E668" s="453">
        <v>257028.86</v>
      </c>
      <c r="F668" s="451">
        <v>156768.70000000001</v>
      </c>
      <c r="G668" s="459">
        <f t="shared" si="10"/>
        <v>60.992644950454213</v>
      </c>
    </row>
    <row r="669" spans="1:7" ht="25.5">
      <c r="A669" s="241" t="s">
        <v>1319</v>
      </c>
      <c r="B669" s="242" t="s">
        <v>1703</v>
      </c>
      <c r="C669" s="242" t="s">
        <v>1320</v>
      </c>
      <c r="D669" s="242"/>
      <c r="E669" s="453">
        <v>257028.86</v>
      </c>
      <c r="F669" s="451">
        <v>156768.70000000001</v>
      </c>
      <c r="G669" s="459">
        <f t="shared" si="10"/>
        <v>60.992644950454213</v>
      </c>
    </row>
    <row r="670" spans="1:7" ht="25.5">
      <c r="A670" s="241" t="s">
        <v>1196</v>
      </c>
      <c r="B670" s="242" t="s">
        <v>1703</v>
      </c>
      <c r="C670" s="242" t="s">
        <v>1197</v>
      </c>
      <c r="D670" s="242"/>
      <c r="E670" s="453">
        <v>257028.86</v>
      </c>
      <c r="F670" s="451">
        <v>156768.70000000001</v>
      </c>
      <c r="G670" s="459">
        <f t="shared" si="10"/>
        <v>60.992644950454213</v>
      </c>
    </row>
    <row r="671" spans="1:7" ht="25.5">
      <c r="A671" s="241" t="s">
        <v>238</v>
      </c>
      <c r="B671" s="242" t="s">
        <v>1703</v>
      </c>
      <c r="C671" s="242" t="s">
        <v>1197</v>
      </c>
      <c r="D671" s="242" t="s">
        <v>1137</v>
      </c>
      <c r="E671" s="453">
        <v>257028.86</v>
      </c>
      <c r="F671" s="451">
        <v>156768.70000000001</v>
      </c>
      <c r="G671" s="459">
        <f t="shared" si="10"/>
        <v>60.992644950454213</v>
      </c>
    </row>
    <row r="672" spans="1:7" ht="38.25">
      <c r="A672" s="241" t="s">
        <v>1705</v>
      </c>
      <c r="B672" s="242" t="s">
        <v>1703</v>
      </c>
      <c r="C672" s="242" t="s">
        <v>1197</v>
      </c>
      <c r="D672" s="242" t="s">
        <v>345</v>
      </c>
      <c r="E672" s="453">
        <v>257028.86</v>
      </c>
      <c r="F672" s="451">
        <v>156768.70000000001</v>
      </c>
      <c r="G672" s="459">
        <f t="shared" si="10"/>
        <v>60.992644950454213</v>
      </c>
    </row>
    <row r="673" spans="1:7" ht="102">
      <c r="A673" s="241" t="s">
        <v>351</v>
      </c>
      <c r="B673" s="242" t="s">
        <v>1704</v>
      </c>
      <c r="C673" s="242"/>
      <c r="D673" s="242"/>
      <c r="E673" s="453">
        <v>20188.3</v>
      </c>
      <c r="F673" s="451">
        <v>20188.3</v>
      </c>
      <c r="G673" s="459">
        <f t="shared" si="10"/>
        <v>100</v>
      </c>
    </row>
    <row r="674" spans="1:7" ht="25.5">
      <c r="A674" s="241" t="s">
        <v>1319</v>
      </c>
      <c r="B674" s="242" t="s">
        <v>1704</v>
      </c>
      <c r="C674" s="242" t="s">
        <v>1320</v>
      </c>
      <c r="D674" s="242"/>
      <c r="E674" s="453">
        <v>20188.3</v>
      </c>
      <c r="F674" s="451">
        <v>20188.3</v>
      </c>
      <c r="G674" s="459">
        <f t="shared" si="10"/>
        <v>100</v>
      </c>
    </row>
    <row r="675" spans="1:7" ht="25.5">
      <c r="A675" s="241" t="s">
        <v>1196</v>
      </c>
      <c r="B675" s="242" t="s">
        <v>1704</v>
      </c>
      <c r="C675" s="242" t="s">
        <v>1197</v>
      </c>
      <c r="D675" s="242"/>
      <c r="E675" s="453">
        <v>20188.3</v>
      </c>
      <c r="F675" s="451">
        <v>20188.3</v>
      </c>
      <c r="G675" s="459">
        <f t="shared" si="10"/>
        <v>100</v>
      </c>
    </row>
    <row r="676" spans="1:7" ht="25.5">
      <c r="A676" s="241" t="s">
        <v>238</v>
      </c>
      <c r="B676" s="242" t="s">
        <v>1704</v>
      </c>
      <c r="C676" s="242" t="s">
        <v>1197</v>
      </c>
      <c r="D676" s="242" t="s">
        <v>1137</v>
      </c>
      <c r="E676" s="453">
        <v>20188.3</v>
      </c>
      <c r="F676" s="451">
        <v>20188.3</v>
      </c>
      <c r="G676" s="459">
        <f t="shared" si="10"/>
        <v>100</v>
      </c>
    </row>
    <row r="677" spans="1:7" ht="38.25">
      <c r="A677" s="241" t="s">
        <v>1705</v>
      </c>
      <c r="B677" s="242" t="s">
        <v>1704</v>
      </c>
      <c r="C677" s="242" t="s">
        <v>1197</v>
      </c>
      <c r="D677" s="242" t="s">
        <v>345</v>
      </c>
      <c r="E677" s="453">
        <v>20188.3</v>
      </c>
      <c r="F677" s="451">
        <v>20188.3</v>
      </c>
      <c r="G677" s="459">
        <f t="shared" si="10"/>
        <v>100</v>
      </c>
    </row>
    <row r="678" spans="1:7" ht="114.75">
      <c r="A678" s="241" t="s">
        <v>2043</v>
      </c>
      <c r="B678" s="242" t="s">
        <v>2044</v>
      </c>
      <c r="C678" s="242"/>
      <c r="D678" s="242"/>
      <c r="E678" s="453">
        <v>10000</v>
      </c>
      <c r="F678" s="451">
        <v>10000</v>
      </c>
      <c r="G678" s="459">
        <f t="shared" si="10"/>
        <v>100</v>
      </c>
    </row>
    <row r="679" spans="1:7" ht="25.5">
      <c r="A679" s="241" t="s">
        <v>1319</v>
      </c>
      <c r="B679" s="242" t="s">
        <v>2044</v>
      </c>
      <c r="C679" s="242" t="s">
        <v>1320</v>
      </c>
      <c r="D679" s="242"/>
      <c r="E679" s="453">
        <v>10000</v>
      </c>
      <c r="F679" s="451">
        <v>10000</v>
      </c>
      <c r="G679" s="459">
        <f t="shared" si="10"/>
        <v>100</v>
      </c>
    </row>
    <row r="680" spans="1:7" ht="25.5">
      <c r="A680" s="241" t="s">
        <v>1196</v>
      </c>
      <c r="B680" s="242" t="s">
        <v>2044</v>
      </c>
      <c r="C680" s="242" t="s">
        <v>1197</v>
      </c>
      <c r="D680" s="242"/>
      <c r="E680" s="453">
        <v>10000</v>
      </c>
      <c r="F680" s="451">
        <v>10000</v>
      </c>
      <c r="G680" s="459">
        <f t="shared" si="10"/>
        <v>100</v>
      </c>
    </row>
    <row r="681" spans="1:7" ht="25.5">
      <c r="A681" s="241" t="s">
        <v>238</v>
      </c>
      <c r="B681" s="242" t="s">
        <v>2044</v>
      </c>
      <c r="C681" s="242" t="s">
        <v>1197</v>
      </c>
      <c r="D681" s="242" t="s">
        <v>1137</v>
      </c>
      <c r="E681" s="453">
        <v>10000</v>
      </c>
      <c r="F681" s="451">
        <v>10000</v>
      </c>
      <c r="G681" s="459">
        <f t="shared" si="10"/>
        <v>100</v>
      </c>
    </row>
    <row r="682" spans="1:7" ht="38.25">
      <c r="A682" s="241" t="s">
        <v>1705</v>
      </c>
      <c r="B682" s="242" t="s">
        <v>2044</v>
      </c>
      <c r="C682" s="242" t="s">
        <v>1197</v>
      </c>
      <c r="D682" s="242" t="s">
        <v>345</v>
      </c>
      <c r="E682" s="453">
        <v>10000</v>
      </c>
      <c r="F682" s="451">
        <v>10000</v>
      </c>
      <c r="G682" s="459">
        <f t="shared" si="10"/>
        <v>100</v>
      </c>
    </row>
    <row r="683" spans="1:7" ht="127.5">
      <c r="A683" s="241" t="s">
        <v>1943</v>
      </c>
      <c r="B683" s="242" t="s">
        <v>1944</v>
      </c>
      <c r="C683" s="242"/>
      <c r="D683" s="242"/>
      <c r="E683" s="453">
        <v>269994.56</v>
      </c>
      <c r="F683" s="451">
        <v>248206.1</v>
      </c>
      <c r="G683" s="459">
        <f t="shared" si="10"/>
        <v>91.930037405198092</v>
      </c>
    </row>
    <row r="684" spans="1:7" ht="25.5">
      <c r="A684" s="241" t="s">
        <v>1319</v>
      </c>
      <c r="B684" s="242" t="s">
        <v>1944</v>
      </c>
      <c r="C684" s="242" t="s">
        <v>1320</v>
      </c>
      <c r="D684" s="242"/>
      <c r="E684" s="453">
        <v>269994.56</v>
      </c>
      <c r="F684" s="451">
        <v>248206.1</v>
      </c>
      <c r="G684" s="459">
        <f t="shared" si="10"/>
        <v>91.930037405198092</v>
      </c>
    </row>
    <row r="685" spans="1:7" ht="25.5">
      <c r="A685" s="241" t="s">
        <v>1196</v>
      </c>
      <c r="B685" s="242" t="s">
        <v>1944</v>
      </c>
      <c r="C685" s="242" t="s">
        <v>1197</v>
      </c>
      <c r="D685" s="242"/>
      <c r="E685" s="453">
        <v>269994.56</v>
      </c>
      <c r="F685" s="451">
        <v>248206.1</v>
      </c>
      <c r="G685" s="459">
        <f t="shared" si="10"/>
        <v>91.930037405198092</v>
      </c>
    </row>
    <row r="686" spans="1:7" ht="25.5">
      <c r="A686" s="241" t="s">
        <v>238</v>
      </c>
      <c r="B686" s="242" t="s">
        <v>1944</v>
      </c>
      <c r="C686" s="242" t="s">
        <v>1197</v>
      </c>
      <c r="D686" s="242" t="s">
        <v>1137</v>
      </c>
      <c r="E686" s="453">
        <v>269994.56</v>
      </c>
      <c r="F686" s="451">
        <v>248206.1</v>
      </c>
      <c r="G686" s="459">
        <f t="shared" si="10"/>
        <v>91.930037405198092</v>
      </c>
    </row>
    <row r="687" spans="1:7" ht="38.25">
      <c r="A687" s="241" t="s">
        <v>1705</v>
      </c>
      <c r="B687" s="242" t="s">
        <v>1944</v>
      </c>
      <c r="C687" s="242" t="s">
        <v>1197</v>
      </c>
      <c r="D687" s="242" t="s">
        <v>345</v>
      </c>
      <c r="E687" s="453">
        <v>269994.56</v>
      </c>
      <c r="F687" s="451">
        <v>248206.1</v>
      </c>
      <c r="G687" s="459">
        <f t="shared" si="10"/>
        <v>91.930037405198092</v>
      </c>
    </row>
    <row r="688" spans="1:7" ht="127.5">
      <c r="A688" s="241" t="s">
        <v>1512</v>
      </c>
      <c r="B688" s="242" t="s">
        <v>1341</v>
      </c>
      <c r="C688" s="242"/>
      <c r="D688" s="242"/>
      <c r="E688" s="453">
        <v>20140.14</v>
      </c>
      <c r="F688" s="451">
        <v>20140.14</v>
      </c>
      <c r="G688" s="459">
        <f t="shared" si="10"/>
        <v>100</v>
      </c>
    </row>
    <row r="689" spans="1:7" ht="25.5">
      <c r="A689" s="241" t="s">
        <v>1319</v>
      </c>
      <c r="B689" s="242" t="s">
        <v>1341</v>
      </c>
      <c r="C689" s="242" t="s">
        <v>1320</v>
      </c>
      <c r="D689" s="242"/>
      <c r="E689" s="453">
        <v>20140.14</v>
      </c>
      <c r="F689" s="451">
        <v>20140.14</v>
      </c>
      <c r="G689" s="459">
        <f t="shared" si="10"/>
        <v>100</v>
      </c>
    </row>
    <row r="690" spans="1:7" ht="25.5">
      <c r="A690" s="241" t="s">
        <v>1196</v>
      </c>
      <c r="B690" s="242" t="s">
        <v>1341</v>
      </c>
      <c r="C690" s="242" t="s">
        <v>1197</v>
      </c>
      <c r="D690" s="242"/>
      <c r="E690" s="453">
        <v>20140.14</v>
      </c>
      <c r="F690" s="451">
        <v>20140.14</v>
      </c>
      <c r="G690" s="459">
        <f t="shared" si="10"/>
        <v>100</v>
      </c>
    </row>
    <row r="691" spans="1:7" ht="25.5">
      <c r="A691" s="241" t="s">
        <v>238</v>
      </c>
      <c r="B691" s="242" t="s">
        <v>1341</v>
      </c>
      <c r="C691" s="242" t="s">
        <v>1197</v>
      </c>
      <c r="D691" s="242" t="s">
        <v>1137</v>
      </c>
      <c r="E691" s="453">
        <v>20140.14</v>
      </c>
      <c r="F691" s="451">
        <v>20140.14</v>
      </c>
      <c r="G691" s="459">
        <f t="shared" si="10"/>
        <v>100</v>
      </c>
    </row>
    <row r="692" spans="1:7" ht="38.25">
      <c r="A692" s="241" t="s">
        <v>1705</v>
      </c>
      <c r="B692" s="242" t="s">
        <v>1341</v>
      </c>
      <c r="C692" s="242" t="s">
        <v>1197</v>
      </c>
      <c r="D692" s="242" t="s">
        <v>345</v>
      </c>
      <c r="E692" s="453">
        <v>20140.14</v>
      </c>
      <c r="F692" s="451">
        <v>20140.14</v>
      </c>
      <c r="G692" s="459">
        <f t="shared" si="10"/>
        <v>100</v>
      </c>
    </row>
    <row r="693" spans="1:7" ht="25.5">
      <c r="A693" s="241" t="s">
        <v>459</v>
      </c>
      <c r="B693" s="242" t="s">
        <v>980</v>
      </c>
      <c r="C693" s="242"/>
      <c r="D693" s="242"/>
      <c r="E693" s="453">
        <v>34650948.170000002</v>
      </c>
      <c r="F693" s="451">
        <v>34089249.630000003</v>
      </c>
      <c r="G693" s="459">
        <f t="shared" si="10"/>
        <v>98.378980750413334</v>
      </c>
    </row>
    <row r="694" spans="1:7" ht="102">
      <c r="A694" s="241" t="s">
        <v>2230</v>
      </c>
      <c r="B694" s="242" t="s">
        <v>2231</v>
      </c>
      <c r="C694" s="242"/>
      <c r="D694" s="242"/>
      <c r="E694" s="453">
        <v>980146</v>
      </c>
      <c r="F694" s="451">
        <v>980146</v>
      </c>
      <c r="G694" s="459">
        <f t="shared" si="10"/>
        <v>100</v>
      </c>
    </row>
    <row r="695" spans="1:7" ht="63.75">
      <c r="A695" s="241" t="s">
        <v>1318</v>
      </c>
      <c r="B695" s="242" t="s">
        <v>2231</v>
      </c>
      <c r="C695" s="242" t="s">
        <v>273</v>
      </c>
      <c r="D695" s="242"/>
      <c r="E695" s="453">
        <v>980146</v>
      </c>
      <c r="F695" s="451">
        <v>980146</v>
      </c>
      <c r="G695" s="459">
        <f t="shared" si="10"/>
        <v>100</v>
      </c>
    </row>
    <row r="696" spans="1:7">
      <c r="A696" s="241" t="s">
        <v>1190</v>
      </c>
      <c r="B696" s="242" t="s">
        <v>2231</v>
      </c>
      <c r="C696" s="242" t="s">
        <v>133</v>
      </c>
      <c r="D696" s="242"/>
      <c r="E696" s="453">
        <v>980146</v>
      </c>
      <c r="F696" s="451">
        <v>980146</v>
      </c>
      <c r="G696" s="459">
        <f t="shared" si="10"/>
        <v>100</v>
      </c>
    </row>
    <row r="697" spans="1:7" ht="25.5">
      <c r="A697" s="241" t="s">
        <v>238</v>
      </c>
      <c r="B697" s="242" t="s">
        <v>2231</v>
      </c>
      <c r="C697" s="242" t="s">
        <v>133</v>
      </c>
      <c r="D697" s="242" t="s">
        <v>1137</v>
      </c>
      <c r="E697" s="453">
        <v>980146</v>
      </c>
      <c r="F697" s="451">
        <v>980146</v>
      </c>
      <c r="G697" s="459">
        <f t="shared" si="10"/>
        <v>100</v>
      </c>
    </row>
    <row r="698" spans="1:7" ht="38.25">
      <c r="A698" s="241" t="s">
        <v>1705</v>
      </c>
      <c r="B698" s="242" t="s">
        <v>2231</v>
      </c>
      <c r="C698" s="242" t="s">
        <v>133</v>
      </c>
      <c r="D698" s="242" t="s">
        <v>345</v>
      </c>
      <c r="E698" s="453">
        <v>980146</v>
      </c>
      <c r="F698" s="451">
        <v>980146</v>
      </c>
      <c r="G698" s="459">
        <f t="shared" si="10"/>
        <v>100</v>
      </c>
    </row>
    <row r="699" spans="1:7" ht="140.25">
      <c r="A699" s="241" t="s">
        <v>2102</v>
      </c>
      <c r="B699" s="242" t="s">
        <v>2103</v>
      </c>
      <c r="C699" s="242"/>
      <c r="D699" s="242"/>
      <c r="E699" s="453">
        <v>716357.35</v>
      </c>
      <c r="F699" s="451">
        <v>716357.35</v>
      </c>
      <c r="G699" s="459">
        <f t="shared" si="10"/>
        <v>100</v>
      </c>
    </row>
    <row r="700" spans="1:7" ht="63.75">
      <c r="A700" s="241" t="s">
        <v>1318</v>
      </c>
      <c r="B700" s="242" t="s">
        <v>2103</v>
      </c>
      <c r="C700" s="242" t="s">
        <v>273</v>
      </c>
      <c r="D700" s="242"/>
      <c r="E700" s="453">
        <v>716357.35</v>
      </c>
      <c r="F700" s="451">
        <v>716357.35</v>
      </c>
      <c r="G700" s="459">
        <f t="shared" si="10"/>
        <v>100</v>
      </c>
    </row>
    <row r="701" spans="1:7">
      <c r="A701" s="241" t="s">
        <v>1190</v>
      </c>
      <c r="B701" s="242" t="s">
        <v>2103</v>
      </c>
      <c r="C701" s="242" t="s">
        <v>133</v>
      </c>
      <c r="D701" s="242"/>
      <c r="E701" s="453">
        <v>716357.35</v>
      </c>
      <c r="F701" s="451">
        <v>716357.35</v>
      </c>
      <c r="G701" s="459">
        <f t="shared" si="10"/>
        <v>100</v>
      </c>
    </row>
    <row r="702" spans="1:7" ht="25.5">
      <c r="A702" s="241" t="s">
        <v>238</v>
      </c>
      <c r="B702" s="242" t="s">
        <v>2103</v>
      </c>
      <c r="C702" s="242" t="s">
        <v>133</v>
      </c>
      <c r="D702" s="242" t="s">
        <v>1137</v>
      </c>
      <c r="E702" s="453">
        <v>716357.35</v>
      </c>
      <c r="F702" s="451">
        <v>716357.35</v>
      </c>
      <c r="G702" s="459">
        <f t="shared" si="10"/>
        <v>100</v>
      </c>
    </row>
    <row r="703" spans="1:7" ht="38.25">
      <c r="A703" s="241" t="s">
        <v>1705</v>
      </c>
      <c r="B703" s="242" t="s">
        <v>2103</v>
      </c>
      <c r="C703" s="242" t="s">
        <v>133</v>
      </c>
      <c r="D703" s="242" t="s">
        <v>345</v>
      </c>
      <c r="E703" s="453">
        <v>716357.35</v>
      </c>
      <c r="F703" s="451">
        <v>716357.35</v>
      </c>
      <c r="G703" s="459">
        <f t="shared" si="10"/>
        <v>100</v>
      </c>
    </row>
    <row r="704" spans="1:7" ht="102">
      <c r="A704" s="241" t="s">
        <v>2104</v>
      </c>
      <c r="B704" s="242" t="s">
        <v>2105</v>
      </c>
      <c r="C704" s="242"/>
      <c r="D704" s="242"/>
      <c r="E704" s="453">
        <v>1310249</v>
      </c>
      <c r="F704" s="451">
        <v>1310249</v>
      </c>
      <c r="G704" s="459">
        <f t="shared" si="10"/>
        <v>100</v>
      </c>
    </row>
    <row r="705" spans="1:7" ht="63.75">
      <c r="A705" s="241" t="s">
        <v>1318</v>
      </c>
      <c r="B705" s="242" t="s">
        <v>2105</v>
      </c>
      <c r="C705" s="242" t="s">
        <v>273</v>
      </c>
      <c r="D705" s="242"/>
      <c r="E705" s="453">
        <v>1310249</v>
      </c>
      <c r="F705" s="451">
        <v>1310249</v>
      </c>
      <c r="G705" s="459">
        <f t="shared" si="10"/>
        <v>100</v>
      </c>
    </row>
    <row r="706" spans="1:7">
      <c r="A706" s="241" t="s">
        <v>1190</v>
      </c>
      <c r="B706" s="242" t="s">
        <v>2105</v>
      </c>
      <c r="C706" s="242" t="s">
        <v>133</v>
      </c>
      <c r="D706" s="242"/>
      <c r="E706" s="453">
        <v>1310249</v>
      </c>
      <c r="F706" s="451">
        <v>1310249</v>
      </c>
      <c r="G706" s="459">
        <f t="shared" si="10"/>
        <v>100</v>
      </c>
    </row>
    <row r="707" spans="1:7" ht="25.5">
      <c r="A707" s="241" t="s">
        <v>238</v>
      </c>
      <c r="B707" s="242" t="s">
        <v>2105</v>
      </c>
      <c r="C707" s="242" t="s">
        <v>133</v>
      </c>
      <c r="D707" s="242" t="s">
        <v>1137</v>
      </c>
      <c r="E707" s="453">
        <v>1310249</v>
      </c>
      <c r="F707" s="451">
        <v>1310249</v>
      </c>
      <c r="G707" s="459">
        <f t="shared" si="10"/>
        <v>100</v>
      </c>
    </row>
    <row r="708" spans="1:7" ht="38.25">
      <c r="A708" s="241" t="s">
        <v>1705</v>
      </c>
      <c r="B708" s="242" t="s">
        <v>2105</v>
      </c>
      <c r="C708" s="242" t="s">
        <v>133</v>
      </c>
      <c r="D708" s="242" t="s">
        <v>345</v>
      </c>
      <c r="E708" s="453">
        <v>1310249</v>
      </c>
      <c r="F708" s="451">
        <v>1310249</v>
      </c>
      <c r="G708" s="459">
        <f t="shared" si="10"/>
        <v>100</v>
      </c>
    </row>
    <row r="709" spans="1:7" ht="114.75">
      <c r="A709" s="241" t="s">
        <v>346</v>
      </c>
      <c r="B709" s="242" t="s">
        <v>658</v>
      </c>
      <c r="C709" s="242"/>
      <c r="D709" s="242"/>
      <c r="E709" s="453">
        <v>22501186.920000002</v>
      </c>
      <c r="F709" s="451">
        <v>22194160.859999999</v>
      </c>
      <c r="G709" s="459">
        <f t="shared" si="10"/>
        <v>98.635511712819451</v>
      </c>
    </row>
    <row r="710" spans="1:7" ht="63.75">
      <c r="A710" s="241" t="s">
        <v>1318</v>
      </c>
      <c r="B710" s="242" t="s">
        <v>658</v>
      </c>
      <c r="C710" s="242" t="s">
        <v>273</v>
      </c>
      <c r="D710" s="242"/>
      <c r="E710" s="453">
        <v>20319966</v>
      </c>
      <c r="F710" s="451">
        <v>20063062.890000001</v>
      </c>
      <c r="G710" s="459">
        <f t="shared" si="10"/>
        <v>98.735710925894267</v>
      </c>
    </row>
    <row r="711" spans="1:7">
      <c r="A711" s="241" t="s">
        <v>1190</v>
      </c>
      <c r="B711" s="242" t="s">
        <v>658</v>
      </c>
      <c r="C711" s="242" t="s">
        <v>133</v>
      </c>
      <c r="D711" s="242"/>
      <c r="E711" s="453">
        <v>20319966</v>
      </c>
      <c r="F711" s="451">
        <v>20063062.890000001</v>
      </c>
      <c r="G711" s="459">
        <f t="shared" ref="G711:G774" si="11">F711/E711*100</f>
        <v>98.735710925894267</v>
      </c>
    </row>
    <row r="712" spans="1:7" ht="25.5">
      <c r="A712" s="241" t="s">
        <v>238</v>
      </c>
      <c r="B712" s="242" t="s">
        <v>658</v>
      </c>
      <c r="C712" s="242" t="s">
        <v>133</v>
      </c>
      <c r="D712" s="242" t="s">
        <v>1137</v>
      </c>
      <c r="E712" s="453">
        <v>20319966</v>
      </c>
      <c r="F712" s="451">
        <v>20063062.890000001</v>
      </c>
      <c r="G712" s="459">
        <f t="shared" si="11"/>
        <v>98.735710925894267</v>
      </c>
    </row>
    <row r="713" spans="1:7" ht="38.25">
      <c r="A713" s="241" t="s">
        <v>1705</v>
      </c>
      <c r="B713" s="242" t="s">
        <v>658</v>
      </c>
      <c r="C713" s="242" t="s">
        <v>133</v>
      </c>
      <c r="D713" s="242" t="s">
        <v>345</v>
      </c>
      <c r="E713" s="453">
        <v>20319966</v>
      </c>
      <c r="F713" s="451">
        <v>20063062.890000001</v>
      </c>
      <c r="G713" s="459">
        <f t="shared" si="11"/>
        <v>98.735710925894267</v>
      </c>
    </row>
    <row r="714" spans="1:7" ht="25.5">
      <c r="A714" s="241" t="s">
        <v>1319</v>
      </c>
      <c r="B714" s="242" t="s">
        <v>658</v>
      </c>
      <c r="C714" s="242" t="s">
        <v>1320</v>
      </c>
      <c r="D714" s="242"/>
      <c r="E714" s="453">
        <v>2174932.86</v>
      </c>
      <c r="F714" s="451">
        <v>2124809.91</v>
      </c>
      <c r="G714" s="459">
        <f t="shared" si="11"/>
        <v>97.695425411890653</v>
      </c>
    </row>
    <row r="715" spans="1:7" ht="25.5">
      <c r="A715" s="241" t="s">
        <v>1196</v>
      </c>
      <c r="B715" s="242" t="s">
        <v>658</v>
      </c>
      <c r="C715" s="242" t="s">
        <v>1197</v>
      </c>
      <c r="D715" s="242"/>
      <c r="E715" s="453">
        <v>2174932.86</v>
      </c>
      <c r="F715" s="451">
        <v>2124809.91</v>
      </c>
      <c r="G715" s="459">
        <f t="shared" si="11"/>
        <v>97.695425411890653</v>
      </c>
    </row>
    <row r="716" spans="1:7" ht="25.5">
      <c r="A716" s="241" t="s">
        <v>238</v>
      </c>
      <c r="B716" s="242" t="s">
        <v>658</v>
      </c>
      <c r="C716" s="242" t="s">
        <v>1197</v>
      </c>
      <c r="D716" s="242" t="s">
        <v>1137</v>
      </c>
      <c r="E716" s="453">
        <v>2174932.86</v>
      </c>
      <c r="F716" s="451">
        <v>2124809.91</v>
      </c>
      <c r="G716" s="459">
        <f t="shared" si="11"/>
        <v>97.695425411890653</v>
      </c>
    </row>
    <row r="717" spans="1:7" ht="38.25">
      <c r="A717" s="241" t="s">
        <v>1705</v>
      </c>
      <c r="B717" s="242" t="s">
        <v>658</v>
      </c>
      <c r="C717" s="242" t="s">
        <v>1197</v>
      </c>
      <c r="D717" s="242" t="s">
        <v>345</v>
      </c>
      <c r="E717" s="453">
        <v>2174932.86</v>
      </c>
      <c r="F717" s="451">
        <v>2124809.91</v>
      </c>
      <c r="G717" s="459">
        <f t="shared" si="11"/>
        <v>97.695425411890653</v>
      </c>
    </row>
    <row r="718" spans="1:7">
      <c r="A718" s="241" t="s">
        <v>1321</v>
      </c>
      <c r="B718" s="242" t="s">
        <v>658</v>
      </c>
      <c r="C718" s="242" t="s">
        <v>1322</v>
      </c>
      <c r="D718" s="242"/>
      <c r="E718" s="453">
        <v>6288.06</v>
      </c>
      <c r="F718" s="451">
        <v>6288.06</v>
      </c>
      <c r="G718" s="459">
        <f t="shared" si="11"/>
        <v>100</v>
      </c>
    </row>
    <row r="719" spans="1:7">
      <c r="A719" s="241" t="s">
        <v>1201</v>
      </c>
      <c r="B719" s="242" t="s">
        <v>658</v>
      </c>
      <c r="C719" s="242" t="s">
        <v>1202</v>
      </c>
      <c r="D719" s="242"/>
      <c r="E719" s="453">
        <v>6288.06</v>
      </c>
      <c r="F719" s="451">
        <v>6288.06</v>
      </c>
      <c r="G719" s="459">
        <f t="shared" si="11"/>
        <v>100</v>
      </c>
    </row>
    <row r="720" spans="1:7" ht="25.5">
      <c r="A720" s="241" t="s">
        <v>238</v>
      </c>
      <c r="B720" s="242" t="s">
        <v>658</v>
      </c>
      <c r="C720" s="242" t="s">
        <v>1202</v>
      </c>
      <c r="D720" s="242" t="s">
        <v>1137</v>
      </c>
      <c r="E720" s="453">
        <v>6288.06</v>
      </c>
      <c r="F720" s="451">
        <v>6288.06</v>
      </c>
      <c r="G720" s="459">
        <f t="shared" si="11"/>
        <v>100</v>
      </c>
    </row>
    <row r="721" spans="1:7" ht="38.25">
      <c r="A721" s="241" t="s">
        <v>1705</v>
      </c>
      <c r="B721" s="242" t="s">
        <v>658</v>
      </c>
      <c r="C721" s="242" t="s">
        <v>1202</v>
      </c>
      <c r="D721" s="242" t="s">
        <v>345</v>
      </c>
      <c r="E721" s="453">
        <v>6288.06</v>
      </c>
      <c r="F721" s="451">
        <v>6288.06</v>
      </c>
      <c r="G721" s="459">
        <f t="shared" si="11"/>
        <v>100</v>
      </c>
    </row>
    <row r="722" spans="1:7" ht="114.75">
      <c r="A722" s="241" t="s">
        <v>1363</v>
      </c>
      <c r="B722" s="242" t="s">
        <v>1364</v>
      </c>
      <c r="C722" s="242"/>
      <c r="D722" s="242"/>
      <c r="E722" s="453">
        <v>1708639.63</v>
      </c>
      <c r="F722" s="451">
        <v>1707609.56</v>
      </c>
      <c r="G722" s="459">
        <f t="shared" si="11"/>
        <v>99.939714028522218</v>
      </c>
    </row>
    <row r="723" spans="1:7" ht="63.75">
      <c r="A723" s="241" t="s">
        <v>1318</v>
      </c>
      <c r="B723" s="242" t="s">
        <v>1364</v>
      </c>
      <c r="C723" s="242" t="s">
        <v>273</v>
      </c>
      <c r="D723" s="242"/>
      <c r="E723" s="453">
        <v>1708639.63</v>
      </c>
      <c r="F723" s="451">
        <v>1707609.56</v>
      </c>
      <c r="G723" s="459">
        <f t="shared" si="11"/>
        <v>99.939714028522218</v>
      </c>
    </row>
    <row r="724" spans="1:7">
      <c r="A724" s="241" t="s">
        <v>1190</v>
      </c>
      <c r="B724" s="242" t="s">
        <v>1364</v>
      </c>
      <c r="C724" s="242" t="s">
        <v>133</v>
      </c>
      <c r="D724" s="242"/>
      <c r="E724" s="453">
        <v>1708639.63</v>
      </c>
      <c r="F724" s="451">
        <v>1707609.56</v>
      </c>
      <c r="G724" s="459">
        <f t="shared" si="11"/>
        <v>99.939714028522218</v>
      </c>
    </row>
    <row r="725" spans="1:7" ht="25.5">
      <c r="A725" s="241" t="s">
        <v>238</v>
      </c>
      <c r="B725" s="242" t="s">
        <v>1364</v>
      </c>
      <c r="C725" s="242" t="s">
        <v>133</v>
      </c>
      <c r="D725" s="242" t="s">
        <v>1137</v>
      </c>
      <c r="E725" s="453">
        <v>1708639.63</v>
      </c>
      <c r="F725" s="451">
        <v>1707609.56</v>
      </c>
      <c r="G725" s="459">
        <f t="shared" si="11"/>
        <v>99.939714028522218</v>
      </c>
    </row>
    <row r="726" spans="1:7" ht="38.25">
      <c r="A726" s="241" t="s">
        <v>1705</v>
      </c>
      <c r="B726" s="242" t="s">
        <v>1364</v>
      </c>
      <c r="C726" s="242" t="s">
        <v>133</v>
      </c>
      <c r="D726" s="242" t="s">
        <v>345</v>
      </c>
      <c r="E726" s="453">
        <v>1708639.63</v>
      </c>
      <c r="F726" s="451">
        <v>1707609.56</v>
      </c>
      <c r="G726" s="459">
        <f t="shared" si="11"/>
        <v>99.939714028522218</v>
      </c>
    </row>
    <row r="727" spans="1:7" ht="102">
      <c r="A727" s="241" t="s">
        <v>1365</v>
      </c>
      <c r="B727" s="242" t="s">
        <v>1366</v>
      </c>
      <c r="C727" s="242"/>
      <c r="D727" s="242"/>
      <c r="E727" s="453">
        <v>134013.79999999999</v>
      </c>
      <c r="F727" s="451">
        <v>134013.79999999999</v>
      </c>
      <c r="G727" s="459">
        <f t="shared" si="11"/>
        <v>100</v>
      </c>
    </row>
    <row r="728" spans="1:7" ht="63.75">
      <c r="A728" s="241" t="s">
        <v>1318</v>
      </c>
      <c r="B728" s="242" t="s">
        <v>1366</v>
      </c>
      <c r="C728" s="242" t="s">
        <v>273</v>
      </c>
      <c r="D728" s="242"/>
      <c r="E728" s="453">
        <v>134013.79999999999</v>
      </c>
      <c r="F728" s="451">
        <v>134013.79999999999</v>
      </c>
      <c r="G728" s="459">
        <f t="shared" si="11"/>
        <v>100</v>
      </c>
    </row>
    <row r="729" spans="1:7">
      <c r="A729" s="241" t="s">
        <v>1190</v>
      </c>
      <c r="B729" s="242" t="s">
        <v>1366</v>
      </c>
      <c r="C729" s="242" t="s">
        <v>133</v>
      </c>
      <c r="D729" s="242"/>
      <c r="E729" s="453">
        <v>134013.79999999999</v>
      </c>
      <c r="F729" s="451">
        <v>134013.79999999999</v>
      </c>
      <c r="G729" s="459">
        <f t="shared" si="11"/>
        <v>100</v>
      </c>
    </row>
    <row r="730" spans="1:7" ht="25.5">
      <c r="A730" s="241" t="s">
        <v>238</v>
      </c>
      <c r="B730" s="242" t="s">
        <v>1366</v>
      </c>
      <c r="C730" s="242" t="s">
        <v>133</v>
      </c>
      <c r="D730" s="242" t="s">
        <v>1137</v>
      </c>
      <c r="E730" s="453">
        <v>134013.79999999999</v>
      </c>
      <c r="F730" s="451">
        <v>134013.79999999999</v>
      </c>
      <c r="G730" s="459">
        <f t="shared" si="11"/>
        <v>100</v>
      </c>
    </row>
    <row r="731" spans="1:7" ht="38.25">
      <c r="A731" s="241" t="s">
        <v>1705</v>
      </c>
      <c r="B731" s="242" t="s">
        <v>1366</v>
      </c>
      <c r="C731" s="242" t="s">
        <v>133</v>
      </c>
      <c r="D731" s="242" t="s">
        <v>345</v>
      </c>
      <c r="E731" s="453">
        <v>134013.79999999999</v>
      </c>
      <c r="F731" s="451">
        <v>134013.79999999999</v>
      </c>
      <c r="G731" s="459">
        <f t="shared" si="11"/>
        <v>100</v>
      </c>
    </row>
    <row r="732" spans="1:7" ht="127.5">
      <c r="A732" s="241" t="s">
        <v>1748</v>
      </c>
      <c r="B732" s="242" t="s">
        <v>660</v>
      </c>
      <c r="C732" s="242"/>
      <c r="D732" s="242"/>
      <c r="E732" s="453">
        <v>2143295.63</v>
      </c>
      <c r="F732" s="451">
        <v>2017903.65</v>
      </c>
      <c r="G732" s="459">
        <f t="shared" si="11"/>
        <v>94.149571424264977</v>
      </c>
    </row>
    <row r="733" spans="1:7" ht="25.5">
      <c r="A733" s="241" t="s">
        <v>1319</v>
      </c>
      <c r="B733" s="242" t="s">
        <v>660</v>
      </c>
      <c r="C733" s="242" t="s">
        <v>1320</v>
      </c>
      <c r="D733" s="242"/>
      <c r="E733" s="453">
        <v>2143295.63</v>
      </c>
      <c r="F733" s="451">
        <v>2017903.65</v>
      </c>
      <c r="G733" s="459">
        <f t="shared" si="11"/>
        <v>94.149571424264977</v>
      </c>
    </row>
    <row r="734" spans="1:7" ht="25.5">
      <c r="A734" s="241" t="s">
        <v>1196</v>
      </c>
      <c r="B734" s="242" t="s">
        <v>660</v>
      </c>
      <c r="C734" s="242" t="s">
        <v>1197</v>
      </c>
      <c r="D734" s="242"/>
      <c r="E734" s="453">
        <v>2143295.63</v>
      </c>
      <c r="F734" s="451">
        <v>2017903.65</v>
      </c>
      <c r="G734" s="459">
        <f t="shared" si="11"/>
        <v>94.149571424264977</v>
      </c>
    </row>
    <row r="735" spans="1:7" ht="25.5">
      <c r="A735" s="241" t="s">
        <v>238</v>
      </c>
      <c r="B735" s="242" t="s">
        <v>660</v>
      </c>
      <c r="C735" s="242" t="s">
        <v>1197</v>
      </c>
      <c r="D735" s="242" t="s">
        <v>1137</v>
      </c>
      <c r="E735" s="453">
        <v>7570.38</v>
      </c>
      <c r="F735" s="451">
        <v>5530.25</v>
      </c>
      <c r="G735" s="459">
        <f t="shared" si="11"/>
        <v>73.051154631603694</v>
      </c>
    </row>
    <row r="736" spans="1:7" ht="38.25">
      <c r="A736" s="241" t="s">
        <v>1705</v>
      </c>
      <c r="B736" s="242" t="s">
        <v>660</v>
      </c>
      <c r="C736" s="242" t="s">
        <v>1197</v>
      </c>
      <c r="D736" s="242" t="s">
        <v>345</v>
      </c>
      <c r="E736" s="453">
        <v>2143295.63</v>
      </c>
      <c r="F736" s="451">
        <v>2017903.65</v>
      </c>
      <c r="G736" s="459">
        <f t="shared" si="11"/>
        <v>94.149571424264977</v>
      </c>
    </row>
    <row r="737" spans="1:7" ht="127.5">
      <c r="A737" s="241" t="s">
        <v>1828</v>
      </c>
      <c r="B737" s="242" t="s">
        <v>1829</v>
      </c>
      <c r="C737" s="242"/>
      <c r="D737" s="242"/>
      <c r="E737" s="453">
        <v>32851.199999999997</v>
      </c>
      <c r="F737" s="451">
        <v>32851.1</v>
      </c>
      <c r="G737" s="459">
        <f t="shared" si="11"/>
        <v>99.999695597116698</v>
      </c>
    </row>
    <row r="738" spans="1:7" ht="25.5">
      <c r="A738" s="241" t="s">
        <v>1319</v>
      </c>
      <c r="B738" s="242" t="s">
        <v>1829</v>
      </c>
      <c r="C738" s="242" t="s">
        <v>1320</v>
      </c>
      <c r="D738" s="242"/>
      <c r="E738" s="453">
        <v>32851.199999999997</v>
      </c>
      <c r="F738" s="451">
        <v>32851.1</v>
      </c>
      <c r="G738" s="459">
        <f t="shared" si="11"/>
        <v>99.999695597116698</v>
      </c>
    </row>
    <row r="739" spans="1:7" ht="25.5">
      <c r="A739" s="241" t="s">
        <v>1196</v>
      </c>
      <c r="B739" s="242" t="s">
        <v>1829</v>
      </c>
      <c r="C739" s="242" t="s">
        <v>1197</v>
      </c>
      <c r="D739" s="242"/>
      <c r="E739" s="453">
        <v>32851.199999999997</v>
      </c>
      <c r="F739" s="451">
        <v>32851.1</v>
      </c>
      <c r="G739" s="459">
        <f t="shared" si="11"/>
        <v>99.999695597116698</v>
      </c>
    </row>
    <row r="740" spans="1:7" ht="25.5">
      <c r="A740" s="241" t="s">
        <v>238</v>
      </c>
      <c r="B740" s="242" t="s">
        <v>1829</v>
      </c>
      <c r="C740" s="242" t="s">
        <v>1197</v>
      </c>
      <c r="D740" s="242" t="s">
        <v>1137</v>
      </c>
      <c r="E740" s="453">
        <v>32851.199999999997</v>
      </c>
      <c r="F740" s="451">
        <v>32851.1</v>
      </c>
      <c r="G740" s="459">
        <f t="shared" si="11"/>
        <v>99.999695597116698</v>
      </c>
    </row>
    <row r="741" spans="1:7" ht="38.25">
      <c r="A741" s="241" t="s">
        <v>1705</v>
      </c>
      <c r="B741" s="242" t="s">
        <v>1829</v>
      </c>
      <c r="C741" s="242" t="s">
        <v>1197</v>
      </c>
      <c r="D741" s="242" t="s">
        <v>345</v>
      </c>
      <c r="E741" s="453">
        <v>32851.199999999997</v>
      </c>
      <c r="F741" s="451">
        <v>32851.1</v>
      </c>
      <c r="G741" s="459">
        <f t="shared" si="11"/>
        <v>99.999695597116698</v>
      </c>
    </row>
    <row r="742" spans="1:7" ht="76.5">
      <c r="A742" s="241" t="s">
        <v>1830</v>
      </c>
      <c r="B742" s="242" t="s">
        <v>1831</v>
      </c>
      <c r="C742" s="242"/>
      <c r="D742" s="242"/>
      <c r="E742" s="453">
        <v>234512.9</v>
      </c>
      <c r="F742" s="451">
        <v>234512.9</v>
      </c>
      <c r="G742" s="459">
        <f t="shared" si="11"/>
        <v>100</v>
      </c>
    </row>
    <row r="743" spans="1:7" ht="25.5">
      <c r="A743" s="241" t="s">
        <v>1319</v>
      </c>
      <c r="B743" s="242" t="s">
        <v>1831</v>
      </c>
      <c r="C743" s="242" t="s">
        <v>1320</v>
      </c>
      <c r="D743" s="242"/>
      <c r="E743" s="453">
        <v>234512.9</v>
      </c>
      <c r="F743" s="451">
        <v>234512.9</v>
      </c>
      <c r="G743" s="459">
        <f t="shared" si="11"/>
        <v>100</v>
      </c>
    </row>
    <row r="744" spans="1:7" ht="25.5">
      <c r="A744" s="241" t="s">
        <v>1196</v>
      </c>
      <c r="B744" s="242" t="s">
        <v>1831</v>
      </c>
      <c r="C744" s="242" t="s">
        <v>1197</v>
      </c>
      <c r="D744" s="242"/>
      <c r="E744" s="453">
        <v>234512.9</v>
      </c>
      <c r="F744" s="451">
        <v>234512.9</v>
      </c>
      <c r="G744" s="459">
        <f t="shared" si="11"/>
        <v>100</v>
      </c>
    </row>
    <row r="745" spans="1:7" ht="25.5">
      <c r="A745" s="241" t="s">
        <v>238</v>
      </c>
      <c r="B745" s="242" t="s">
        <v>1831</v>
      </c>
      <c r="C745" s="242" t="s">
        <v>1197</v>
      </c>
      <c r="D745" s="242" t="s">
        <v>1137</v>
      </c>
      <c r="E745" s="453">
        <v>234512.9</v>
      </c>
      <c r="F745" s="451">
        <v>234512.9</v>
      </c>
      <c r="G745" s="459">
        <f t="shared" si="11"/>
        <v>100</v>
      </c>
    </row>
    <row r="746" spans="1:7" ht="38.25">
      <c r="A746" s="241" t="s">
        <v>1705</v>
      </c>
      <c r="B746" s="242" t="s">
        <v>1831</v>
      </c>
      <c r="C746" s="242" t="s">
        <v>1197</v>
      </c>
      <c r="D746" s="242" t="s">
        <v>345</v>
      </c>
      <c r="E746" s="453">
        <v>234512.9</v>
      </c>
      <c r="F746" s="451">
        <v>234512.9</v>
      </c>
      <c r="G746" s="459">
        <f t="shared" si="11"/>
        <v>100</v>
      </c>
    </row>
    <row r="747" spans="1:7" ht="114.75">
      <c r="A747" s="241" t="s">
        <v>1367</v>
      </c>
      <c r="B747" s="242" t="s">
        <v>1368</v>
      </c>
      <c r="C747" s="242"/>
      <c r="D747" s="242"/>
      <c r="E747" s="453">
        <v>580324.87</v>
      </c>
      <c r="F747" s="451">
        <v>452074.54</v>
      </c>
      <c r="G747" s="459">
        <f t="shared" si="11"/>
        <v>77.900252663650278</v>
      </c>
    </row>
    <row r="748" spans="1:7" ht="25.5">
      <c r="A748" s="241" t="s">
        <v>1319</v>
      </c>
      <c r="B748" s="242" t="s">
        <v>1368</v>
      </c>
      <c r="C748" s="242" t="s">
        <v>1320</v>
      </c>
      <c r="D748" s="242"/>
      <c r="E748" s="453">
        <v>580324.87</v>
      </c>
      <c r="F748" s="451">
        <v>452074.54</v>
      </c>
      <c r="G748" s="459">
        <f t="shared" si="11"/>
        <v>77.900252663650278</v>
      </c>
    </row>
    <row r="749" spans="1:7" ht="25.5">
      <c r="A749" s="241" t="s">
        <v>1196</v>
      </c>
      <c r="B749" s="242" t="s">
        <v>1368</v>
      </c>
      <c r="C749" s="242" t="s">
        <v>1197</v>
      </c>
      <c r="D749" s="242"/>
      <c r="E749" s="453">
        <v>580324.87</v>
      </c>
      <c r="F749" s="451">
        <v>452074.54</v>
      </c>
      <c r="G749" s="459">
        <f t="shared" si="11"/>
        <v>77.900252663650278</v>
      </c>
    </row>
    <row r="750" spans="1:7" ht="25.5">
      <c r="A750" s="241" t="s">
        <v>238</v>
      </c>
      <c r="B750" s="242" t="s">
        <v>1368</v>
      </c>
      <c r="C750" s="242" t="s">
        <v>1197</v>
      </c>
      <c r="D750" s="242" t="s">
        <v>1137</v>
      </c>
      <c r="E750" s="453">
        <v>580324.87</v>
      </c>
      <c r="F750" s="451">
        <v>452074.54</v>
      </c>
      <c r="G750" s="459">
        <f t="shared" si="11"/>
        <v>77.900252663650278</v>
      </c>
    </row>
    <row r="751" spans="1:7" ht="38.25">
      <c r="A751" s="241" t="s">
        <v>1705</v>
      </c>
      <c r="B751" s="242" t="s">
        <v>1368</v>
      </c>
      <c r="C751" s="242" t="s">
        <v>1197</v>
      </c>
      <c r="D751" s="242" t="s">
        <v>345</v>
      </c>
      <c r="E751" s="453">
        <v>580324.87</v>
      </c>
      <c r="F751" s="451">
        <v>452074.54</v>
      </c>
      <c r="G751" s="459">
        <f t="shared" si="11"/>
        <v>77.900252663650278</v>
      </c>
    </row>
    <row r="752" spans="1:7" ht="89.25">
      <c r="A752" s="241" t="s">
        <v>349</v>
      </c>
      <c r="B752" s="242" t="s">
        <v>661</v>
      </c>
      <c r="C752" s="242"/>
      <c r="D752" s="242"/>
      <c r="E752" s="453">
        <v>150000</v>
      </c>
      <c r="F752" s="451">
        <v>150000</v>
      </c>
      <c r="G752" s="459">
        <f t="shared" si="11"/>
        <v>100</v>
      </c>
    </row>
    <row r="753" spans="1:7" ht="25.5">
      <c r="A753" s="241" t="s">
        <v>1319</v>
      </c>
      <c r="B753" s="242" t="s">
        <v>661</v>
      </c>
      <c r="C753" s="242" t="s">
        <v>1320</v>
      </c>
      <c r="D753" s="242"/>
      <c r="E753" s="453">
        <v>150000</v>
      </c>
      <c r="F753" s="451">
        <v>150000</v>
      </c>
      <c r="G753" s="459">
        <f t="shared" si="11"/>
        <v>100</v>
      </c>
    </row>
    <row r="754" spans="1:7" ht="25.5">
      <c r="A754" s="241" t="s">
        <v>1196</v>
      </c>
      <c r="B754" s="242" t="s">
        <v>661</v>
      </c>
      <c r="C754" s="242" t="s">
        <v>1197</v>
      </c>
      <c r="D754" s="242"/>
      <c r="E754" s="453">
        <v>150000</v>
      </c>
      <c r="F754" s="451">
        <v>150000</v>
      </c>
      <c r="G754" s="459">
        <f t="shared" si="11"/>
        <v>100</v>
      </c>
    </row>
    <row r="755" spans="1:7" ht="25.5">
      <c r="A755" s="241" t="s">
        <v>238</v>
      </c>
      <c r="B755" s="242" t="s">
        <v>661</v>
      </c>
      <c r="C755" s="242" t="s">
        <v>1197</v>
      </c>
      <c r="D755" s="242" t="s">
        <v>1137</v>
      </c>
      <c r="E755" s="453">
        <v>150000</v>
      </c>
      <c r="F755" s="451">
        <v>150000</v>
      </c>
      <c r="G755" s="459">
        <f t="shared" si="11"/>
        <v>100</v>
      </c>
    </row>
    <row r="756" spans="1:7" ht="38.25">
      <c r="A756" s="241" t="s">
        <v>1705</v>
      </c>
      <c r="B756" s="242" t="s">
        <v>661</v>
      </c>
      <c r="C756" s="242" t="s">
        <v>1197</v>
      </c>
      <c r="D756" s="242" t="s">
        <v>345</v>
      </c>
      <c r="E756" s="453">
        <v>150000</v>
      </c>
      <c r="F756" s="451">
        <v>150000</v>
      </c>
      <c r="G756" s="459">
        <f t="shared" si="11"/>
        <v>100</v>
      </c>
    </row>
    <row r="757" spans="1:7" ht="89.25">
      <c r="A757" s="241" t="s">
        <v>350</v>
      </c>
      <c r="B757" s="242" t="s">
        <v>662</v>
      </c>
      <c r="C757" s="242"/>
      <c r="D757" s="242"/>
      <c r="E757" s="453">
        <v>26119.02</v>
      </c>
      <c r="F757" s="451">
        <v>26119.02</v>
      </c>
      <c r="G757" s="459">
        <f t="shared" si="11"/>
        <v>100</v>
      </c>
    </row>
    <row r="758" spans="1:7" ht="25.5">
      <c r="A758" s="241" t="s">
        <v>1319</v>
      </c>
      <c r="B758" s="242" t="s">
        <v>662</v>
      </c>
      <c r="C758" s="242" t="s">
        <v>1320</v>
      </c>
      <c r="D758" s="242"/>
      <c r="E758" s="453">
        <v>26119.02</v>
      </c>
      <c r="F758" s="451">
        <v>26119.02</v>
      </c>
      <c r="G758" s="459">
        <f t="shared" si="11"/>
        <v>100</v>
      </c>
    </row>
    <row r="759" spans="1:7" ht="25.5">
      <c r="A759" s="241" t="s">
        <v>1196</v>
      </c>
      <c r="B759" s="242" t="s">
        <v>662</v>
      </c>
      <c r="C759" s="242" t="s">
        <v>1197</v>
      </c>
      <c r="D759" s="242"/>
      <c r="E759" s="453">
        <v>26119.02</v>
      </c>
      <c r="F759" s="451">
        <v>26119.02</v>
      </c>
      <c r="G759" s="459">
        <f t="shared" si="11"/>
        <v>100</v>
      </c>
    </row>
    <row r="760" spans="1:7" ht="25.5">
      <c r="A760" s="241" t="s">
        <v>238</v>
      </c>
      <c r="B760" s="242" t="s">
        <v>662</v>
      </c>
      <c r="C760" s="242" t="s">
        <v>1197</v>
      </c>
      <c r="D760" s="242" t="s">
        <v>1137</v>
      </c>
      <c r="E760" s="453">
        <v>26119.02</v>
      </c>
      <c r="F760" s="451">
        <v>26119.02</v>
      </c>
      <c r="G760" s="459">
        <f t="shared" si="11"/>
        <v>100</v>
      </c>
    </row>
    <row r="761" spans="1:7" ht="38.25">
      <c r="A761" s="241" t="s">
        <v>1705</v>
      </c>
      <c r="B761" s="242" t="s">
        <v>662</v>
      </c>
      <c r="C761" s="242" t="s">
        <v>1197</v>
      </c>
      <c r="D761" s="242" t="s">
        <v>345</v>
      </c>
      <c r="E761" s="453">
        <v>26119.02</v>
      </c>
      <c r="F761" s="451">
        <v>26119.02</v>
      </c>
      <c r="G761" s="459">
        <f t="shared" si="11"/>
        <v>100</v>
      </c>
    </row>
    <row r="762" spans="1:7" ht="102">
      <c r="A762" s="241" t="s">
        <v>1945</v>
      </c>
      <c r="B762" s="242" t="s">
        <v>1946</v>
      </c>
      <c r="C762" s="242"/>
      <c r="D762" s="242"/>
      <c r="E762" s="453">
        <v>21803.85</v>
      </c>
      <c r="F762" s="451">
        <v>21803.85</v>
      </c>
      <c r="G762" s="459">
        <f t="shared" si="11"/>
        <v>100</v>
      </c>
    </row>
    <row r="763" spans="1:7" ht="25.5">
      <c r="A763" s="241" t="s">
        <v>1319</v>
      </c>
      <c r="B763" s="242" t="s">
        <v>1946</v>
      </c>
      <c r="C763" s="242" t="s">
        <v>1320</v>
      </c>
      <c r="D763" s="242"/>
      <c r="E763" s="453">
        <v>21803.85</v>
      </c>
      <c r="F763" s="451">
        <v>21803.85</v>
      </c>
      <c r="G763" s="459">
        <f t="shared" si="11"/>
        <v>100</v>
      </c>
    </row>
    <row r="764" spans="1:7" ht="25.5">
      <c r="A764" s="241" t="s">
        <v>1196</v>
      </c>
      <c r="B764" s="242" t="s">
        <v>1946</v>
      </c>
      <c r="C764" s="242" t="s">
        <v>1197</v>
      </c>
      <c r="D764" s="242"/>
      <c r="E764" s="453">
        <v>21803.85</v>
      </c>
      <c r="F764" s="451">
        <v>21803.85</v>
      </c>
      <c r="G764" s="459">
        <f t="shared" si="11"/>
        <v>100</v>
      </c>
    </row>
    <row r="765" spans="1:7" ht="25.5">
      <c r="A765" s="241" t="s">
        <v>238</v>
      </c>
      <c r="B765" s="242" t="s">
        <v>1946</v>
      </c>
      <c r="C765" s="242" t="s">
        <v>1197</v>
      </c>
      <c r="D765" s="242" t="s">
        <v>1137</v>
      </c>
      <c r="E765" s="453">
        <v>21803.85</v>
      </c>
      <c r="F765" s="451">
        <v>21803.85</v>
      </c>
      <c r="G765" s="459">
        <f t="shared" si="11"/>
        <v>100</v>
      </c>
    </row>
    <row r="766" spans="1:7" ht="38.25">
      <c r="A766" s="241" t="s">
        <v>1705</v>
      </c>
      <c r="B766" s="242" t="s">
        <v>1946</v>
      </c>
      <c r="C766" s="242" t="s">
        <v>1197</v>
      </c>
      <c r="D766" s="242" t="s">
        <v>345</v>
      </c>
      <c r="E766" s="453">
        <v>21803.85</v>
      </c>
      <c r="F766" s="451">
        <v>21803.85</v>
      </c>
      <c r="G766" s="459">
        <f t="shared" si="11"/>
        <v>100</v>
      </c>
    </row>
    <row r="767" spans="1:7" ht="102">
      <c r="A767" s="241" t="s">
        <v>2112</v>
      </c>
      <c r="B767" s="242" t="s">
        <v>1224</v>
      </c>
      <c r="C767" s="242"/>
      <c r="D767" s="242"/>
      <c r="E767" s="453">
        <v>4102500</v>
      </c>
      <c r="F767" s="451">
        <v>4102500</v>
      </c>
      <c r="G767" s="459">
        <f t="shared" si="11"/>
        <v>100</v>
      </c>
    </row>
    <row r="768" spans="1:7">
      <c r="A768" s="241" t="s">
        <v>1329</v>
      </c>
      <c r="B768" s="242" t="s">
        <v>1224</v>
      </c>
      <c r="C768" s="242" t="s">
        <v>1330</v>
      </c>
      <c r="D768" s="242"/>
      <c r="E768" s="453">
        <v>4102500</v>
      </c>
      <c r="F768" s="451">
        <v>4102500</v>
      </c>
      <c r="G768" s="459">
        <f t="shared" si="11"/>
        <v>100</v>
      </c>
    </row>
    <row r="769" spans="1:7">
      <c r="A769" s="241" t="s">
        <v>68</v>
      </c>
      <c r="B769" s="242" t="s">
        <v>1224</v>
      </c>
      <c r="C769" s="242" t="s">
        <v>430</v>
      </c>
      <c r="D769" s="242"/>
      <c r="E769" s="453">
        <v>4102500</v>
      </c>
      <c r="F769" s="451">
        <v>4102500</v>
      </c>
      <c r="G769" s="459">
        <f t="shared" si="11"/>
        <v>100</v>
      </c>
    </row>
    <row r="770" spans="1:7" ht="25.5">
      <c r="A770" s="241" t="s">
        <v>238</v>
      </c>
      <c r="B770" s="242" t="s">
        <v>1224</v>
      </c>
      <c r="C770" s="242" t="s">
        <v>430</v>
      </c>
      <c r="D770" s="242" t="s">
        <v>1137</v>
      </c>
      <c r="E770" s="453">
        <v>4102500</v>
      </c>
      <c r="F770" s="451">
        <v>4102500</v>
      </c>
      <c r="G770" s="459">
        <f t="shared" si="11"/>
        <v>100</v>
      </c>
    </row>
    <row r="771" spans="1:7" ht="38.25">
      <c r="A771" s="241" t="s">
        <v>1705</v>
      </c>
      <c r="B771" s="242" t="s">
        <v>1224</v>
      </c>
      <c r="C771" s="242" t="s">
        <v>430</v>
      </c>
      <c r="D771" s="242" t="s">
        <v>345</v>
      </c>
      <c r="E771" s="453">
        <v>4102500</v>
      </c>
      <c r="F771" s="451">
        <v>4102500</v>
      </c>
      <c r="G771" s="459">
        <f t="shared" si="11"/>
        <v>100</v>
      </c>
    </row>
    <row r="772" spans="1:7" ht="76.5">
      <c r="A772" s="241" t="s">
        <v>1470</v>
      </c>
      <c r="B772" s="242" t="s">
        <v>1471</v>
      </c>
      <c r="C772" s="242"/>
      <c r="D772" s="242"/>
      <c r="E772" s="453">
        <v>8948</v>
      </c>
      <c r="F772" s="451">
        <v>8948</v>
      </c>
      <c r="G772" s="459">
        <f t="shared" si="11"/>
        <v>100</v>
      </c>
    </row>
    <row r="773" spans="1:7" ht="25.5">
      <c r="A773" s="241" t="s">
        <v>1319</v>
      </c>
      <c r="B773" s="242" t="s">
        <v>1471</v>
      </c>
      <c r="C773" s="242" t="s">
        <v>1320</v>
      </c>
      <c r="D773" s="242"/>
      <c r="E773" s="453">
        <v>8948</v>
      </c>
      <c r="F773" s="451">
        <v>8948</v>
      </c>
      <c r="G773" s="459">
        <f t="shared" si="11"/>
        <v>100</v>
      </c>
    </row>
    <row r="774" spans="1:7" ht="25.5">
      <c r="A774" s="241" t="s">
        <v>1196</v>
      </c>
      <c r="B774" s="242" t="s">
        <v>1471</v>
      </c>
      <c r="C774" s="242" t="s">
        <v>1197</v>
      </c>
      <c r="D774" s="242"/>
      <c r="E774" s="453">
        <v>8948</v>
      </c>
      <c r="F774" s="451">
        <v>8948</v>
      </c>
      <c r="G774" s="459">
        <f t="shared" si="11"/>
        <v>100</v>
      </c>
    </row>
    <row r="775" spans="1:7" ht="25.5">
      <c r="A775" s="241" t="s">
        <v>238</v>
      </c>
      <c r="B775" s="242" t="s">
        <v>1471</v>
      </c>
      <c r="C775" s="242" t="s">
        <v>1197</v>
      </c>
      <c r="D775" s="242" t="s">
        <v>1137</v>
      </c>
      <c r="E775" s="453">
        <v>8948</v>
      </c>
      <c r="F775" s="451">
        <v>8948</v>
      </c>
      <c r="G775" s="459">
        <f t="shared" ref="G775:G838" si="12">F775/E775*100</f>
        <v>100</v>
      </c>
    </row>
    <row r="776" spans="1:7" ht="38.25">
      <c r="A776" s="241" t="s">
        <v>1705</v>
      </c>
      <c r="B776" s="242" t="s">
        <v>1471</v>
      </c>
      <c r="C776" s="242" t="s">
        <v>1197</v>
      </c>
      <c r="D776" s="242" t="s">
        <v>345</v>
      </c>
      <c r="E776" s="453">
        <v>8948</v>
      </c>
      <c r="F776" s="451">
        <v>8948</v>
      </c>
      <c r="G776" s="459">
        <f t="shared" si="12"/>
        <v>100</v>
      </c>
    </row>
    <row r="777" spans="1:7" ht="25.5">
      <c r="A777" s="241" t="s">
        <v>1752</v>
      </c>
      <c r="B777" s="242" t="s">
        <v>1163</v>
      </c>
      <c r="C777" s="242"/>
      <c r="D777" s="242"/>
      <c r="E777" s="453">
        <v>332158.61</v>
      </c>
      <c r="F777" s="451">
        <v>306558.61</v>
      </c>
      <c r="G777" s="459">
        <f t="shared" si="12"/>
        <v>92.292838653196426</v>
      </c>
    </row>
    <row r="778" spans="1:7" ht="76.5">
      <c r="A778" s="241" t="s">
        <v>1809</v>
      </c>
      <c r="B778" s="242" t="s">
        <v>1810</v>
      </c>
      <c r="C778" s="242"/>
      <c r="D778" s="242"/>
      <c r="E778" s="453">
        <v>63170.28</v>
      </c>
      <c r="F778" s="451">
        <v>63170.28</v>
      </c>
      <c r="G778" s="459">
        <f t="shared" si="12"/>
        <v>100</v>
      </c>
    </row>
    <row r="779" spans="1:7" ht="25.5">
      <c r="A779" s="241" t="s">
        <v>1319</v>
      </c>
      <c r="B779" s="242" t="s">
        <v>1810</v>
      </c>
      <c r="C779" s="242" t="s">
        <v>1320</v>
      </c>
      <c r="D779" s="242"/>
      <c r="E779" s="453">
        <v>63170.28</v>
      </c>
      <c r="F779" s="451">
        <v>63170.28</v>
      </c>
      <c r="G779" s="459">
        <f t="shared" si="12"/>
        <v>100</v>
      </c>
    </row>
    <row r="780" spans="1:7" ht="25.5">
      <c r="A780" s="241" t="s">
        <v>1196</v>
      </c>
      <c r="B780" s="242" t="s">
        <v>1810</v>
      </c>
      <c r="C780" s="242" t="s">
        <v>1197</v>
      </c>
      <c r="D780" s="242"/>
      <c r="E780" s="453">
        <v>63170.28</v>
      </c>
      <c r="F780" s="451">
        <v>63170.28</v>
      </c>
      <c r="G780" s="459">
        <f t="shared" si="12"/>
        <v>100</v>
      </c>
    </row>
    <row r="781" spans="1:7">
      <c r="A781" s="241" t="s">
        <v>234</v>
      </c>
      <c r="B781" s="242" t="s">
        <v>1810</v>
      </c>
      <c r="C781" s="242" t="s">
        <v>1197</v>
      </c>
      <c r="D781" s="242" t="s">
        <v>1135</v>
      </c>
      <c r="E781" s="453">
        <v>63170.28</v>
      </c>
      <c r="F781" s="451">
        <v>63170.28</v>
      </c>
      <c r="G781" s="459">
        <f t="shared" si="12"/>
        <v>100</v>
      </c>
    </row>
    <row r="782" spans="1:7">
      <c r="A782" s="241" t="s">
        <v>217</v>
      </c>
      <c r="B782" s="242" t="s">
        <v>1810</v>
      </c>
      <c r="C782" s="242" t="s">
        <v>1197</v>
      </c>
      <c r="D782" s="242" t="s">
        <v>337</v>
      </c>
      <c r="E782" s="453">
        <v>63170.28</v>
      </c>
      <c r="F782" s="451">
        <v>63170.28</v>
      </c>
      <c r="G782" s="459">
        <f t="shared" si="12"/>
        <v>100</v>
      </c>
    </row>
    <row r="783" spans="1:7" ht="76.5">
      <c r="A783" s="241" t="s">
        <v>1753</v>
      </c>
      <c r="B783" s="242" t="s">
        <v>1701</v>
      </c>
      <c r="C783" s="242"/>
      <c r="D783" s="242"/>
      <c r="E783" s="453">
        <v>268988.33</v>
      </c>
      <c r="F783" s="451">
        <v>243388.33</v>
      </c>
      <c r="G783" s="459">
        <f t="shared" si="12"/>
        <v>90.482858494269976</v>
      </c>
    </row>
    <row r="784" spans="1:7" ht="25.5">
      <c r="A784" s="241" t="s">
        <v>1319</v>
      </c>
      <c r="B784" s="242" t="s">
        <v>1701</v>
      </c>
      <c r="C784" s="242" t="s">
        <v>1320</v>
      </c>
      <c r="D784" s="242"/>
      <c r="E784" s="453">
        <v>268988.33</v>
      </c>
      <c r="F784" s="451">
        <v>243388.33</v>
      </c>
      <c r="G784" s="459">
        <f t="shared" si="12"/>
        <v>90.482858494269976</v>
      </c>
    </row>
    <row r="785" spans="1:7" ht="25.5">
      <c r="A785" s="241" t="s">
        <v>1196</v>
      </c>
      <c r="B785" s="242" t="s">
        <v>1701</v>
      </c>
      <c r="C785" s="242" t="s">
        <v>1197</v>
      </c>
      <c r="D785" s="242"/>
      <c r="E785" s="453">
        <v>268988.33</v>
      </c>
      <c r="F785" s="451">
        <v>243388.33</v>
      </c>
      <c r="G785" s="459">
        <f t="shared" si="12"/>
        <v>90.482858494269976</v>
      </c>
    </row>
    <row r="786" spans="1:7">
      <c r="A786" s="241" t="s">
        <v>234</v>
      </c>
      <c r="B786" s="242" t="s">
        <v>1701</v>
      </c>
      <c r="C786" s="242" t="s">
        <v>1197</v>
      </c>
      <c r="D786" s="242" t="s">
        <v>1135</v>
      </c>
      <c r="E786" s="453">
        <v>268988.33</v>
      </c>
      <c r="F786" s="451">
        <v>243388.33</v>
      </c>
      <c r="G786" s="459">
        <f t="shared" si="12"/>
        <v>90.482858494269976</v>
      </c>
    </row>
    <row r="787" spans="1:7">
      <c r="A787" s="241" t="s">
        <v>217</v>
      </c>
      <c r="B787" s="242" t="s">
        <v>1701</v>
      </c>
      <c r="C787" s="242" t="s">
        <v>1197</v>
      </c>
      <c r="D787" s="242" t="s">
        <v>337</v>
      </c>
      <c r="E787" s="453">
        <v>268988.33</v>
      </c>
      <c r="F787" s="451">
        <v>243388.33</v>
      </c>
      <c r="G787" s="459">
        <f t="shared" si="12"/>
        <v>90.482858494269976</v>
      </c>
    </row>
    <row r="788" spans="1:7" ht="25.5">
      <c r="A788" s="241" t="s">
        <v>461</v>
      </c>
      <c r="B788" s="242" t="s">
        <v>981</v>
      </c>
      <c r="C788" s="242"/>
      <c r="D788" s="242"/>
      <c r="E788" s="453">
        <v>356888966.57999998</v>
      </c>
      <c r="F788" s="451">
        <v>352227104.72000003</v>
      </c>
      <c r="G788" s="459">
        <f t="shared" si="12"/>
        <v>98.693750074519343</v>
      </c>
    </row>
    <row r="789" spans="1:7">
      <c r="A789" s="241" t="s">
        <v>462</v>
      </c>
      <c r="B789" s="242" t="s">
        <v>982</v>
      </c>
      <c r="C789" s="242"/>
      <c r="D789" s="242"/>
      <c r="E789" s="453">
        <v>48699132.299999997</v>
      </c>
      <c r="F789" s="451">
        <v>48251494.899999999</v>
      </c>
      <c r="G789" s="459">
        <f t="shared" si="12"/>
        <v>99.080810316614205</v>
      </c>
    </row>
    <row r="790" spans="1:7" ht="63.75">
      <c r="A790" s="241" t="s">
        <v>2062</v>
      </c>
      <c r="B790" s="242" t="s">
        <v>2063</v>
      </c>
      <c r="C790" s="242"/>
      <c r="D790" s="242"/>
      <c r="E790" s="453">
        <v>4937282</v>
      </c>
      <c r="F790" s="451">
        <v>4937282</v>
      </c>
      <c r="G790" s="459">
        <f t="shared" si="12"/>
        <v>100</v>
      </c>
    </row>
    <row r="791" spans="1:7" ht="25.5">
      <c r="A791" s="241" t="s">
        <v>1327</v>
      </c>
      <c r="B791" s="242" t="s">
        <v>2063</v>
      </c>
      <c r="C791" s="242" t="s">
        <v>1328</v>
      </c>
      <c r="D791" s="242"/>
      <c r="E791" s="453">
        <v>4937282</v>
      </c>
      <c r="F791" s="451">
        <v>4937282</v>
      </c>
      <c r="G791" s="459">
        <f t="shared" si="12"/>
        <v>100</v>
      </c>
    </row>
    <row r="792" spans="1:7">
      <c r="A792" s="241" t="s">
        <v>1198</v>
      </c>
      <c r="B792" s="242" t="s">
        <v>2063</v>
      </c>
      <c r="C792" s="242" t="s">
        <v>1199</v>
      </c>
      <c r="D792" s="242"/>
      <c r="E792" s="453">
        <v>4937282</v>
      </c>
      <c r="F792" s="451">
        <v>4937282</v>
      </c>
      <c r="G792" s="459">
        <f t="shared" si="12"/>
        <v>100</v>
      </c>
    </row>
    <row r="793" spans="1:7">
      <c r="A793" s="241" t="s">
        <v>249</v>
      </c>
      <c r="B793" s="242" t="s">
        <v>2063</v>
      </c>
      <c r="C793" s="242" t="s">
        <v>1199</v>
      </c>
      <c r="D793" s="242" t="s">
        <v>1148</v>
      </c>
      <c r="E793" s="453">
        <v>4937282</v>
      </c>
      <c r="F793" s="451">
        <v>4937282</v>
      </c>
      <c r="G793" s="459">
        <f t="shared" si="12"/>
        <v>100</v>
      </c>
    </row>
    <row r="794" spans="1:7">
      <c r="A794" s="241" t="s">
        <v>209</v>
      </c>
      <c r="B794" s="242" t="s">
        <v>2063</v>
      </c>
      <c r="C794" s="242" t="s">
        <v>1199</v>
      </c>
      <c r="D794" s="242" t="s">
        <v>392</v>
      </c>
      <c r="E794" s="453">
        <v>4937282</v>
      </c>
      <c r="F794" s="451">
        <v>4937282</v>
      </c>
      <c r="G794" s="459">
        <f t="shared" si="12"/>
        <v>100</v>
      </c>
    </row>
    <row r="795" spans="1:7" ht="76.5">
      <c r="A795" s="241" t="s">
        <v>2064</v>
      </c>
      <c r="B795" s="242" t="s">
        <v>2065</v>
      </c>
      <c r="C795" s="242"/>
      <c r="D795" s="242"/>
      <c r="E795" s="453">
        <v>1137648</v>
      </c>
      <c r="F795" s="451">
        <v>1137648</v>
      </c>
      <c r="G795" s="459">
        <f t="shared" si="12"/>
        <v>100</v>
      </c>
    </row>
    <row r="796" spans="1:7" ht="25.5">
      <c r="A796" s="241" t="s">
        <v>1327</v>
      </c>
      <c r="B796" s="242" t="s">
        <v>2065</v>
      </c>
      <c r="C796" s="242" t="s">
        <v>1328</v>
      </c>
      <c r="D796" s="242"/>
      <c r="E796" s="453">
        <v>1137648</v>
      </c>
      <c r="F796" s="451">
        <v>1137648</v>
      </c>
      <c r="G796" s="459">
        <f t="shared" si="12"/>
        <v>100</v>
      </c>
    </row>
    <row r="797" spans="1:7">
      <c r="A797" s="241" t="s">
        <v>1198</v>
      </c>
      <c r="B797" s="242" t="s">
        <v>2065</v>
      </c>
      <c r="C797" s="242" t="s">
        <v>1199</v>
      </c>
      <c r="D797" s="242"/>
      <c r="E797" s="453">
        <v>1137648</v>
      </c>
      <c r="F797" s="451">
        <v>1137648</v>
      </c>
      <c r="G797" s="459">
        <f t="shared" si="12"/>
        <v>100</v>
      </c>
    </row>
    <row r="798" spans="1:7">
      <c r="A798" s="241" t="s">
        <v>249</v>
      </c>
      <c r="B798" s="242" t="s">
        <v>2065</v>
      </c>
      <c r="C798" s="242" t="s">
        <v>1199</v>
      </c>
      <c r="D798" s="242" t="s">
        <v>1148</v>
      </c>
      <c r="E798" s="453">
        <v>1137648</v>
      </c>
      <c r="F798" s="451">
        <v>1137648</v>
      </c>
      <c r="G798" s="459">
        <f t="shared" si="12"/>
        <v>100</v>
      </c>
    </row>
    <row r="799" spans="1:7">
      <c r="A799" s="241" t="s">
        <v>209</v>
      </c>
      <c r="B799" s="242" t="s">
        <v>2065</v>
      </c>
      <c r="C799" s="242" t="s">
        <v>1199</v>
      </c>
      <c r="D799" s="242" t="s">
        <v>392</v>
      </c>
      <c r="E799" s="453">
        <v>1137648</v>
      </c>
      <c r="F799" s="451">
        <v>1137648</v>
      </c>
      <c r="G799" s="459">
        <f t="shared" si="12"/>
        <v>100</v>
      </c>
    </row>
    <row r="800" spans="1:7" ht="89.25">
      <c r="A800" s="241" t="s">
        <v>397</v>
      </c>
      <c r="B800" s="242" t="s">
        <v>708</v>
      </c>
      <c r="C800" s="242"/>
      <c r="D800" s="242"/>
      <c r="E800" s="453">
        <v>36423974</v>
      </c>
      <c r="F800" s="451">
        <v>36423974</v>
      </c>
      <c r="G800" s="459">
        <f t="shared" si="12"/>
        <v>100</v>
      </c>
    </row>
    <row r="801" spans="1:7" ht="25.5">
      <c r="A801" s="241" t="s">
        <v>1327</v>
      </c>
      <c r="B801" s="242" t="s">
        <v>708</v>
      </c>
      <c r="C801" s="242" t="s">
        <v>1328</v>
      </c>
      <c r="D801" s="242"/>
      <c r="E801" s="453">
        <v>36423974</v>
      </c>
      <c r="F801" s="451">
        <v>36423974</v>
      </c>
      <c r="G801" s="459">
        <f t="shared" si="12"/>
        <v>100</v>
      </c>
    </row>
    <row r="802" spans="1:7">
      <c r="A802" s="241" t="s">
        <v>1198</v>
      </c>
      <c r="B802" s="242" t="s">
        <v>708</v>
      </c>
      <c r="C802" s="242" t="s">
        <v>1199</v>
      </c>
      <c r="D802" s="242"/>
      <c r="E802" s="453">
        <v>36423974</v>
      </c>
      <c r="F802" s="451">
        <v>36423974</v>
      </c>
      <c r="G802" s="459">
        <f t="shared" si="12"/>
        <v>100</v>
      </c>
    </row>
    <row r="803" spans="1:7">
      <c r="A803" s="241" t="s">
        <v>249</v>
      </c>
      <c r="B803" s="242" t="s">
        <v>708</v>
      </c>
      <c r="C803" s="242" t="s">
        <v>1199</v>
      </c>
      <c r="D803" s="242" t="s">
        <v>1148</v>
      </c>
      <c r="E803" s="453">
        <v>36423974</v>
      </c>
      <c r="F803" s="451">
        <v>36423974</v>
      </c>
      <c r="G803" s="459">
        <f t="shared" si="12"/>
        <v>100</v>
      </c>
    </row>
    <row r="804" spans="1:7">
      <c r="A804" s="241" t="s">
        <v>209</v>
      </c>
      <c r="B804" s="242" t="s">
        <v>708</v>
      </c>
      <c r="C804" s="242" t="s">
        <v>1199</v>
      </c>
      <c r="D804" s="242" t="s">
        <v>392</v>
      </c>
      <c r="E804" s="453">
        <v>36423974</v>
      </c>
      <c r="F804" s="451">
        <v>36423974</v>
      </c>
      <c r="G804" s="459">
        <f t="shared" si="12"/>
        <v>100</v>
      </c>
    </row>
    <row r="805" spans="1:7" ht="114.75">
      <c r="A805" s="241" t="s">
        <v>398</v>
      </c>
      <c r="B805" s="242" t="s">
        <v>709</v>
      </c>
      <c r="C805" s="242"/>
      <c r="D805" s="242"/>
      <c r="E805" s="453">
        <v>50000</v>
      </c>
      <c r="F805" s="451">
        <v>50000</v>
      </c>
      <c r="G805" s="459">
        <f t="shared" si="12"/>
        <v>100</v>
      </c>
    </row>
    <row r="806" spans="1:7" ht="25.5">
      <c r="A806" s="241" t="s">
        <v>1327</v>
      </c>
      <c r="B806" s="242" t="s">
        <v>709</v>
      </c>
      <c r="C806" s="242" t="s">
        <v>1328</v>
      </c>
      <c r="D806" s="242"/>
      <c r="E806" s="453">
        <v>50000</v>
      </c>
      <c r="F806" s="451">
        <v>50000</v>
      </c>
      <c r="G806" s="459">
        <f t="shared" si="12"/>
        <v>100</v>
      </c>
    </row>
    <row r="807" spans="1:7">
      <c r="A807" s="241" t="s">
        <v>1198</v>
      </c>
      <c r="B807" s="242" t="s">
        <v>709</v>
      </c>
      <c r="C807" s="242" t="s">
        <v>1199</v>
      </c>
      <c r="D807" s="242"/>
      <c r="E807" s="453">
        <v>50000</v>
      </c>
      <c r="F807" s="451">
        <v>50000</v>
      </c>
      <c r="G807" s="459">
        <f t="shared" si="12"/>
        <v>100</v>
      </c>
    </row>
    <row r="808" spans="1:7">
      <c r="A808" s="241" t="s">
        <v>249</v>
      </c>
      <c r="B808" s="242" t="s">
        <v>709</v>
      </c>
      <c r="C808" s="242" t="s">
        <v>1199</v>
      </c>
      <c r="D808" s="242" t="s">
        <v>1148</v>
      </c>
      <c r="E808" s="453">
        <v>50000</v>
      </c>
      <c r="F808" s="451">
        <v>50000</v>
      </c>
      <c r="G808" s="459">
        <f t="shared" si="12"/>
        <v>100</v>
      </c>
    </row>
    <row r="809" spans="1:7">
      <c r="A809" s="241" t="s">
        <v>209</v>
      </c>
      <c r="B809" s="242" t="s">
        <v>709</v>
      </c>
      <c r="C809" s="242" t="s">
        <v>1199</v>
      </c>
      <c r="D809" s="242" t="s">
        <v>392</v>
      </c>
      <c r="E809" s="453">
        <v>50000</v>
      </c>
      <c r="F809" s="451">
        <v>50000</v>
      </c>
      <c r="G809" s="459">
        <f t="shared" si="12"/>
        <v>100</v>
      </c>
    </row>
    <row r="810" spans="1:7" ht="89.25">
      <c r="A810" s="241" t="s">
        <v>1826</v>
      </c>
      <c r="B810" s="242" t="s">
        <v>1827</v>
      </c>
      <c r="C810" s="242"/>
      <c r="D810" s="242"/>
      <c r="E810" s="453">
        <v>72747</v>
      </c>
      <c r="F810" s="451">
        <v>72747</v>
      </c>
      <c r="G810" s="459">
        <f t="shared" si="12"/>
        <v>100</v>
      </c>
    </row>
    <row r="811" spans="1:7" ht="25.5">
      <c r="A811" s="241" t="s">
        <v>1327</v>
      </c>
      <c r="B811" s="242" t="s">
        <v>1827</v>
      </c>
      <c r="C811" s="242" t="s">
        <v>1328</v>
      </c>
      <c r="D811" s="242"/>
      <c r="E811" s="453">
        <v>72747</v>
      </c>
      <c r="F811" s="451">
        <v>72747</v>
      </c>
      <c r="G811" s="459">
        <f t="shared" si="12"/>
        <v>100</v>
      </c>
    </row>
    <row r="812" spans="1:7">
      <c r="A812" s="241" t="s">
        <v>1198</v>
      </c>
      <c r="B812" s="242" t="s">
        <v>1827</v>
      </c>
      <c r="C812" s="242" t="s">
        <v>1199</v>
      </c>
      <c r="D812" s="242"/>
      <c r="E812" s="453">
        <v>72747</v>
      </c>
      <c r="F812" s="451">
        <v>72747</v>
      </c>
      <c r="G812" s="459">
        <f t="shared" si="12"/>
        <v>100</v>
      </c>
    </row>
    <row r="813" spans="1:7">
      <c r="A813" s="241" t="s">
        <v>249</v>
      </c>
      <c r="B813" s="242" t="s">
        <v>1827</v>
      </c>
      <c r="C813" s="242" t="s">
        <v>1199</v>
      </c>
      <c r="D813" s="242" t="s">
        <v>1148</v>
      </c>
      <c r="E813" s="453">
        <v>72747</v>
      </c>
      <c r="F813" s="451">
        <v>72747</v>
      </c>
      <c r="G813" s="459">
        <f t="shared" si="12"/>
        <v>100</v>
      </c>
    </row>
    <row r="814" spans="1:7">
      <c r="A814" s="241" t="s">
        <v>209</v>
      </c>
      <c r="B814" s="242" t="s">
        <v>1827</v>
      </c>
      <c r="C814" s="242" t="s">
        <v>1199</v>
      </c>
      <c r="D814" s="242" t="s">
        <v>392</v>
      </c>
      <c r="E814" s="453">
        <v>72747</v>
      </c>
      <c r="F814" s="451">
        <v>72747</v>
      </c>
      <c r="G814" s="459">
        <f t="shared" si="12"/>
        <v>100</v>
      </c>
    </row>
    <row r="815" spans="1:7" ht="76.5">
      <c r="A815" s="241" t="s">
        <v>513</v>
      </c>
      <c r="B815" s="242" t="s">
        <v>710</v>
      </c>
      <c r="C815" s="242"/>
      <c r="D815" s="242"/>
      <c r="E815" s="453">
        <v>179907.3</v>
      </c>
      <c r="F815" s="451">
        <v>179907.3</v>
      </c>
      <c r="G815" s="459">
        <f t="shared" si="12"/>
        <v>100</v>
      </c>
    </row>
    <row r="816" spans="1:7" ht="25.5">
      <c r="A816" s="241" t="s">
        <v>1327</v>
      </c>
      <c r="B816" s="242" t="s">
        <v>710</v>
      </c>
      <c r="C816" s="242" t="s">
        <v>1328</v>
      </c>
      <c r="D816" s="242"/>
      <c r="E816" s="453">
        <v>179907.3</v>
      </c>
      <c r="F816" s="451">
        <v>179907.3</v>
      </c>
      <c r="G816" s="459">
        <f t="shared" si="12"/>
        <v>100</v>
      </c>
    </row>
    <row r="817" spans="1:7">
      <c r="A817" s="241" t="s">
        <v>1198</v>
      </c>
      <c r="B817" s="242" t="s">
        <v>710</v>
      </c>
      <c r="C817" s="242" t="s">
        <v>1199</v>
      </c>
      <c r="D817" s="242"/>
      <c r="E817" s="453">
        <v>179907.3</v>
      </c>
      <c r="F817" s="451">
        <v>179907.3</v>
      </c>
      <c r="G817" s="459">
        <f t="shared" si="12"/>
        <v>100</v>
      </c>
    </row>
    <row r="818" spans="1:7">
      <c r="A818" s="241" t="s">
        <v>249</v>
      </c>
      <c r="B818" s="242" t="s">
        <v>710</v>
      </c>
      <c r="C818" s="242" t="s">
        <v>1199</v>
      </c>
      <c r="D818" s="242" t="s">
        <v>1148</v>
      </c>
      <c r="E818" s="453">
        <v>179907.3</v>
      </c>
      <c r="F818" s="451">
        <v>179907.3</v>
      </c>
      <c r="G818" s="459">
        <f t="shared" si="12"/>
        <v>100</v>
      </c>
    </row>
    <row r="819" spans="1:7">
      <c r="A819" s="241" t="s">
        <v>209</v>
      </c>
      <c r="B819" s="242" t="s">
        <v>710</v>
      </c>
      <c r="C819" s="242" t="s">
        <v>1199</v>
      </c>
      <c r="D819" s="242" t="s">
        <v>392</v>
      </c>
      <c r="E819" s="453">
        <v>179907.3</v>
      </c>
      <c r="F819" s="451">
        <v>179907.3</v>
      </c>
      <c r="G819" s="459">
        <f t="shared" si="12"/>
        <v>100</v>
      </c>
    </row>
    <row r="820" spans="1:7" ht="89.25">
      <c r="A820" s="241" t="s">
        <v>568</v>
      </c>
      <c r="B820" s="242" t="s">
        <v>711</v>
      </c>
      <c r="C820" s="242"/>
      <c r="D820" s="242"/>
      <c r="E820" s="453">
        <v>3800000</v>
      </c>
      <c r="F820" s="451">
        <v>3454032.37</v>
      </c>
      <c r="G820" s="459">
        <f t="shared" si="12"/>
        <v>90.895588684210523</v>
      </c>
    </row>
    <row r="821" spans="1:7" ht="25.5">
      <c r="A821" s="241" t="s">
        <v>1327</v>
      </c>
      <c r="B821" s="242" t="s">
        <v>711</v>
      </c>
      <c r="C821" s="242" t="s">
        <v>1328</v>
      </c>
      <c r="D821" s="242"/>
      <c r="E821" s="453">
        <v>3800000</v>
      </c>
      <c r="F821" s="451">
        <v>3454032.37</v>
      </c>
      <c r="G821" s="459">
        <f t="shared" si="12"/>
        <v>90.895588684210523</v>
      </c>
    </row>
    <row r="822" spans="1:7">
      <c r="A822" s="241" t="s">
        <v>1198</v>
      </c>
      <c r="B822" s="242" t="s">
        <v>711</v>
      </c>
      <c r="C822" s="242" t="s">
        <v>1199</v>
      </c>
      <c r="D822" s="242"/>
      <c r="E822" s="453">
        <v>3800000</v>
      </c>
      <c r="F822" s="451">
        <v>3454032.37</v>
      </c>
      <c r="G822" s="459">
        <f t="shared" si="12"/>
        <v>90.895588684210523</v>
      </c>
    </row>
    <row r="823" spans="1:7">
      <c r="A823" s="241" t="s">
        <v>249</v>
      </c>
      <c r="B823" s="242" t="s">
        <v>711</v>
      </c>
      <c r="C823" s="242" t="s">
        <v>1199</v>
      </c>
      <c r="D823" s="242" t="s">
        <v>1148</v>
      </c>
      <c r="E823" s="453">
        <v>3800000</v>
      </c>
      <c r="F823" s="451">
        <v>3454032.37</v>
      </c>
      <c r="G823" s="459">
        <f t="shared" si="12"/>
        <v>90.895588684210523</v>
      </c>
    </row>
    <row r="824" spans="1:7">
      <c r="A824" s="241" t="s">
        <v>209</v>
      </c>
      <c r="B824" s="242" t="s">
        <v>711</v>
      </c>
      <c r="C824" s="242" t="s">
        <v>1199</v>
      </c>
      <c r="D824" s="242" t="s">
        <v>392</v>
      </c>
      <c r="E824" s="453">
        <v>3800000</v>
      </c>
      <c r="F824" s="451">
        <v>3454032.37</v>
      </c>
      <c r="G824" s="459">
        <f t="shared" si="12"/>
        <v>90.895588684210523</v>
      </c>
    </row>
    <row r="825" spans="1:7" ht="51">
      <c r="A825" s="241" t="s">
        <v>1631</v>
      </c>
      <c r="B825" s="242" t="s">
        <v>1632</v>
      </c>
      <c r="C825" s="242"/>
      <c r="D825" s="242"/>
      <c r="E825" s="453">
        <v>35200</v>
      </c>
      <c r="F825" s="451">
        <v>35200</v>
      </c>
      <c r="G825" s="459">
        <f t="shared" si="12"/>
        <v>100</v>
      </c>
    </row>
    <row r="826" spans="1:7" ht="25.5">
      <c r="A826" s="241" t="s">
        <v>1327</v>
      </c>
      <c r="B826" s="242" t="s">
        <v>1632</v>
      </c>
      <c r="C826" s="242" t="s">
        <v>1328</v>
      </c>
      <c r="D826" s="242"/>
      <c r="E826" s="453">
        <v>35200</v>
      </c>
      <c r="F826" s="451">
        <v>35200</v>
      </c>
      <c r="G826" s="459">
        <f t="shared" si="12"/>
        <v>100</v>
      </c>
    </row>
    <row r="827" spans="1:7">
      <c r="A827" s="241" t="s">
        <v>1198</v>
      </c>
      <c r="B827" s="242" t="s">
        <v>1632</v>
      </c>
      <c r="C827" s="242" t="s">
        <v>1199</v>
      </c>
      <c r="D827" s="242"/>
      <c r="E827" s="453">
        <v>35200</v>
      </c>
      <c r="F827" s="451">
        <v>35200</v>
      </c>
      <c r="G827" s="459">
        <f t="shared" si="12"/>
        <v>100</v>
      </c>
    </row>
    <row r="828" spans="1:7">
      <c r="A828" s="241" t="s">
        <v>249</v>
      </c>
      <c r="B828" s="242" t="s">
        <v>1632</v>
      </c>
      <c r="C828" s="242" t="s">
        <v>1199</v>
      </c>
      <c r="D828" s="242" t="s">
        <v>1148</v>
      </c>
      <c r="E828" s="453">
        <v>35200</v>
      </c>
      <c r="F828" s="451">
        <v>35200</v>
      </c>
      <c r="G828" s="459">
        <f t="shared" si="12"/>
        <v>100</v>
      </c>
    </row>
    <row r="829" spans="1:7">
      <c r="A829" s="241" t="s">
        <v>209</v>
      </c>
      <c r="B829" s="242" t="s">
        <v>1632</v>
      </c>
      <c r="C829" s="242" t="s">
        <v>1199</v>
      </c>
      <c r="D829" s="242" t="s">
        <v>392</v>
      </c>
      <c r="E829" s="453">
        <v>35200</v>
      </c>
      <c r="F829" s="451">
        <v>35200</v>
      </c>
      <c r="G829" s="459">
        <f t="shared" si="12"/>
        <v>100</v>
      </c>
    </row>
    <row r="830" spans="1:7" ht="76.5">
      <c r="A830" s="241" t="s">
        <v>958</v>
      </c>
      <c r="B830" s="242" t="s">
        <v>959</v>
      </c>
      <c r="C830" s="242"/>
      <c r="D830" s="242"/>
      <c r="E830" s="453">
        <v>1131000</v>
      </c>
      <c r="F830" s="451">
        <v>1029404.23</v>
      </c>
      <c r="G830" s="459">
        <f t="shared" si="12"/>
        <v>91.017173297966409</v>
      </c>
    </row>
    <row r="831" spans="1:7" ht="25.5">
      <c r="A831" s="241" t="s">
        <v>1327</v>
      </c>
      <c r="B831" s="242" t="s">
        <v>959</v>
      </c>
      <c r="C831" s="242" t="s">
        <v>1328</v>
      </c>
      <c r="D831" s="242"/>
      <c r="E831" s="453">
        <v>1131000</v>
      </c>
      <c r="F831" s="451">
        <v>1029404.23</v>
      </c>
      <c r="G831" s="459">
        <f t="shared" si="12"/>
        <v>91.017173297966409</v>
      </c>
    </row>
    <row r="832" spans="1:7">
      <c r="A832" s="241" t="s">
        <v>1198</v>
      </c>
      <c r="B832" s="242" t="s">
        <v>959</v>
      </c>
      <c r="C832" s="242" t="s">
        <v>1199</v>
      </c>
      <c r="D832" s="242"/>
      <c r="E832" s="453">
        <v>1131000</v>
      </c>
      <c r="F832" s="451">
        <v>1029404.23</v>
      </c>
      <c r="G832" s="459">
        <f t="shared" si="12"/>
        <v>91.017173297966409</v>
      </c>
    </row>
    <row r="833" spans="1:7">
      <c r="A833" s="241" t="s">
        <v>249</v>
      </c>
      <c r="B833" s="242" t="s">
        <v>959</v>
      </c>
      <c r="C833" s="242" t="s">
        <v>1199</v>
      </c>
      <c r="D833" s="242" t="s">
        <v>1148</v>
      </c>
      <c r="E833" s="453">
        <v>1131000</v>
      </c>
      <c r="F833" s="451">
        <v>1029404.23</v>
      </c>
      <c r="G833" s="459">
        <f t="shared" si="12"/>
        <v>91.017173297966409</v>
      </c>
    </row>
    <row r="834" spans="1:7">
      <c r="A834" s="241" t="s">
        <v>209</v>
      </c>
      <c r="B834" s="242" t="s">
        <v>959</v>
      </c>
      <c r="C834" s="242" t="s">
        <v>1199</v>
      </c>
      <c r="D834" s="242" t="s">
        <v>392</v>
      </c>
      <c r="E834" s="453">
        <v>1131000</v>
      </c>
      <c r="F834" s="451">
        <v>1029404.23</v>
      </c>
      <c r="G834" s="459">
        <f t="shared" si="12"/>
        <v>91.017173297966409</v>
      </c>
    </row>
    <row r="835" spans="1:7" ht="38.25">
      <c r="A835" s="241" t="s">
        <v>401</v>
      </c>
      <c r="B835" s="242" t="s">
        <v>718</v>
      </c>
      <c r="C835" s="242"/>
      <c r="D835" s="242"/>
      <c r="E835" s="453">
        <v>150000</v>
      </c>
      <c r="F835" s="451">
        <v>150000</v>
      </c>
      <c r="G835" s="459">
        <f t="shared" si="12"/>
        <v>100</v>
      </c>
    </row>
    <row r="836" spans="1:7" ht="25.5">
      <c r="A836" s="241" t="s">
        <v>1327</v>
      </c>
      <c r="B836" s="242" t="s">
        <v>718</v>
      </c>
      <c r="C836" s="242" t="s">
        <v>1328</v>
      </c>
      <c r="D836" s="242"/>
      <c r="E836" s="453">
        <v>150000</v>
      </c>
      <c r="F836" s="451">
        <v>150000</v>
      </c>
      <c r="G836" s="459">
        <f t="shared" si="12"/>
        <v>100</v>
      </c>
    </row>
    <row r="837" spans="1:7">
      <c r="A837" s="241" t="s">
        <v>1198</v>
      </c>
      <c r="B837" s="242" t="s">
        <v>718</v>
      </c>
      <c r="C837" s="242" t="s">
        <v>1199</v>
      </c>
      <c r="D837" s="242"/>
      <c r="E837" s="453">
        <v>150000</v>
      </c>
      <c r="F837" s="451">
        <v>150000</v>
      </c>
      <c r="G837" s="459">
        <f t="shared" si="12"/>
        <v>100</v>
      </c>
    </row>
    <row r="838" spans="1:7">
      <c r="A838" s="241" t="s">
        <v>249</v>
      </c>
      <c r="B838" s="242" t="s">
        <v>718</v>
      </c>
      <c r="C838" s="242" t="s">
        <v>1199</v>
      </c>
      <c r="D838" s="242" t="s">
        <v>1148</v>
      </c>
      <c r="E838" s="453">
        <v>150000</v>
      </c>
      <c r="F838" s="451">
        <v>150000</v>
      </c>
      <c r="G838" s="459">
        <f t="shared" si="12"/>
        <v>100</v>
      </c>
    </row>
    <row r="839" spans="1:7">
      <c r="A839" s="241" t="s">
        <v>209</v>
      </c>
      <c r="B839" s="242" t="s">
        <v>718</v>
      </c>
      <c r="C839" s="242" t="s">
        <v>1199</v>
      </c>
      <c r="D839" s="242" t="s">
        <v>392</v>
      </c>
      <c r="E839" s="453">
        <v>150000</v>
      </c>
      <c r="F839" s="451">
        <v>150000</v>
      </c>
      <c r="G839" s="459">
        <f t="shared" ref="G839:G902" si="13">F839/E839*100</f>
        <v>100</v>
      </c>
    </row>
    <row r="840" spans="1:7" ht="63.75">
      <c r="A840" s="241" t="s">
        <v>2066</v>
      </c>
      <c r="B840" s="242" t="s">
        <v>2067</v>
      </c>
      <c r="C840" s="242"/>
      <c r="D840" s="242"/>
      <c r="E840" s="453">
        <v>342425</v>
      </c>
      <c r="F840" s="451">
        <v>342425</v>
      </c>
      <c r="G840" s="459">
        <f t="shared" si="13"/>
        <v>100</v>
      </c>
    </row>
    <row r="841" spans="1:7" ht="25.5">
      <c r="A841" s="241" t="s">
        <v>1327</v>
      </c>
      <c r="B841" s="242" t="s">
        <v>2067</v>
      </c>
      <c r="C841" s="242" t="s">
        <v>1328</v>
      </c>
      <c r="D841" s="242"/>
      <c r="E841" s="453">
        <v>342425</v>
      </c>
      <c r="F841" s="451">
        <v>342425</v>
      </c>
      <c r="G841" s="459">
        <f t="shared" si="13"/>
        <v>100</v>
      </c>
    </row>
    <row r="842" spans="1:7">
      <c r="A842" s="241" t="s">
        <v>1198</v>
      </c>
      <c r="B842" s="242" t="s">
        <v>2067</v>
      </c>
      <c r="C842" s="242" t="s">
        <v>1199</v>
      </c>
      <c r="D842" s="242"/>
      <c r="E842" s="453">
        <v>342425</v>
      </c>
      <c r="F842" s="451">
        <v>342425</v>
      </c>
      <c r="G842" s="459">
        <f t="shared" si="13"/>
        <v>100</v>
      </c>
    </row>
    <row r="843" spans="1:7">
      <c r="A843" s="241" t="s">
        <v>249</v>
      </c>
      <c r="B843" s="242" t="s">
        <v>2067</v>
      </c>
      <c r="C843" s="242" t="s">
        <v>1199</v>
      </c>
      <c r="D843" s="242" t="s">
        <v>1148</v>
      </c>
      <c r="E843" s="453">
        <v>342425</v>
      </c>
      <c r="F843" s="451">
        <v>342425</v>
      </c>
      <c r="G843" s="459">
        <f t="shared" si="13"/>
        <v>100</v>
      </c>
    </row>
    <row r="844" spans="1:7">
      <c r="A844" s="241" t="s">
        <v>209</v>
      </c>
      <c r="B844" s="242" t="s">
        <v>2067</v>
      </c>
      <c r="C844" s="242" t="s">
        <v>1199</v>
      </c>
      <c r="D844" s="242" t="s">
        <v>392</v>
      </c>
      <c r="E844" s="453">
        <v>342425</v>
      </c>
      <c r="F844" s="451">
        <v>342425</v>
      </c>
      <c r="G844" s="459">
        <f t="shared" si="13"/>
        <v>100</v>
      </c>
    </row>
    <row r="845" spans="1:7" ht="38.25">
      <c r="A845" s="241" t="s">
        <v>1502</v>
      </c>
      <c r="B845" s="242" t="s">
        <v>712</v>
      </c>
      <c r="C845" s="242"/>
      <c r="D845" s="242"/>
      <c r="E845" s="453">
        <v>438949</v>
      </c>
      <c r="F845" s="451">
        <v>438875</v>
      </c>
      <c r="G845" s="459">
        <f t="shared" si="13"/>
        <v>99.983141549473856</v>
      </c>
    </row>
    <row r="846" spans="1:7" ht="25.5">
      <c r="A846" s="241" t="s">
        <v>1327</v>
      </c>
      <c r="B846" s="242" t="s">
        <v>712</v>
      </c>
      <c r="C846" s="242" t="s">
        <v>1328</v>
      </c>
      <c r="D846" s="242"/>
      <c r="E846" s="453">
        <v>438949</v>
      </c>
      <c r="F846" s="451">
        <v>438875</v>
      </c>
      <c r="G846" s="459">
        <f t="shared" si="13"/>
        <v>99.983141549473856</v>
      </c>
    </row>
    <row r="847" spans="1:7">
      <c r="A847" s="241" t="s">
        <v>1198</v>
      </c>
      <c r="B847" s="242" t="s">
        <v>712</v>
      </c>
      <c r="C847" s="242" t="s">
        <v>1199</v>
      </c>
      <c r="D847" s="242"/>
      <c r="E847" s="453">
        <v>438949</v>
      </c>
      <c r="F847" s="451">
        <v>438875</v>
      </c>
      <c r="G847" s="459">
        <f t="shared" si="13"/>
        <v>99.983141549473856</v>
      </c>
    </row>
    <row r="848" spans="1:7">
      <c r="A848" s="241" t="s">
        <v>249</v>
      </c>
      <c r="B848" s="242" t="s">
        <v>712</v>
      </c>
      <c r="C848" s="242" t="s">
        <v>1199</v>
      </c>
      <c r="D848" s="242" t="s">
        <v>1148</v>
      </c>
      <c r="E848" s="453">
        <v>438949</v>
      </c>
      <c r="F848" s="451">
        <v>438875</v>
      </c>
      <c r="G848" s="459">
        <f t="shared" si="13"/>
        <v>99.983141549473856</v>
      </c>
    </row>
    <row r="849" spans="1:7">
      <c r="A849" s="241" t="s">
        <v>209</v>
      </c>
      <c r="B849" s="242" t="s">
        <v>712</v>
      </c>
      <c r="C849" s="242" t="s">
        <v>1199</v>
      </c>
      <c r="D849" s="242" t="s">
        <v>392</v>
      </c>
      <c r="E849" s="453">
        <v>438949</v>
      </c>
      <c r="F849" s="451">
        <v>438875</v>
      </c>
      <c r="G849" s="459">
        <f t="shared" si="13"/>
        <v>99.983141549473856</v>
      </c>
    </row>
    <row r="850" spans="1:7">
      <c r="A850" s="241" t="s">
        <v>594</v>
      </c>
      <c r="B850" s="242" t="s">
        <v>983</v>
      </c>
      <c r="C850" s="242"/>
      <c r="D850" s="242"/>
      <c r="E850" s="453">
        <v>109261007.56</v>
      </c>
      <c r="F850" s="451">
        <v>105784013.8</v>
      </c>
      <c r="G850" s="459">
        <f t="shared" si="13"/>
        <v>96.817717649097617</v>
      </c>
    </row>
    <row r="851" spans="1:7" ht="76.5">
      <c r="A851" s="241" t="s">
        <v>2068</v>
      </c>
      <c r="B851" s="242" t="s">
        <v>2069</v>
      </c>
      <c r="C851" s="242"/>
      <c r="D851" s="242"/>
      <c r="E851" s="453">
        <v>8214318</v>
      </c>
      <c r="F851" s="451">
        <v>8214318</v>
      </c>
      <c r="G851" s="459">
        <f t="shared" si="13"/>
        <v>100</v>
      </c>
    </row>
    <row r="852" spans="1:7" ht="25.5">
      <c r="A852" s="241" t="s">
        <v>1327</v>
      </c>
      <c r="B852" s="242" t="s">
        <v>2069</v>
      </c>
      <c r="C852" s="242" t="s">
        <v>1328</v>
      </c>
      <c r="D852" s="242"/>
      <c r="E852" s="453">
        <v>8214318</v>
      </c>
      <c r="F852" s="451">
        <v>8214318</v>
      </c>
      <c r="G852" s="459">
        <f t="shared" si="13"/>
        <v>100</v>
      </c>
    </row>
    <row r="853" spans="1:7">
      <c r="A853" s="241" t="s">
        <v>1198</v>
      </c>
      <c r="B853" s="242" t="s">
        <v>2069</v>
      </c>
      <c r="C853" s="242" t="s">
        <v>1199</v>
      </c>
      <c r="D853" s="242"/>
      <c r="E853" s="453">
        <v>8214318</v>
      </c>
      <c r="F853" s="451">
        <v>8214318</v>
      </c>
      <c r="G853" s="459">
        <f t="shared" si="13"/>
        <v>100</v>
      </c>
    </row>
    <row r="854" spans="1:7">
      <c r="A854" s="241" t="s">
        <v>249</v>
      </c>
      <c r="B854" s="242" t="s">
        <v>2069</v>
      </c>
      <c r="C854" s="242" t="s">
        <v>1199</v>
      </c>
      <c r="D854" s="242" t="s">
        <v>1148</v>
      </c>
      <c r="E854" s="453">
        <v>8214318</v>
      </c>
      <c r="F854" s="451">
        <v>8214318</v>
      </c>
      <c r="G854" s="459">
        <f t="shared" si="13"/>
        <v>100</v>
      </c>
    </row>
    <row r="855" spans="1:7">
      <c r="A855" s="241" t="s">
        <v>209</v>
      </c>
      <c r="B855" s="242" t="s">
        <v>2069</v>
      </c>
      <c r="C855" s="242" t="s">
        <v>1199</v>
      </c>
      <c r="D855" s="242" t="s">
        <v>392</v>
      </c>
      <c r="E855" s="453">
        <v>8214318</v>
      </c>
      <c r="F855" s="451">
        <v>8214318</v>
      </c>
      <c r="G855" s="459">
        <f t="shared" si="13"/>
        <v>100</v>
      </c>
    </row>
    <row r="856" spans="1:7" ht="76.5">
      <c r="A856" s="241" t="s">
        <v>2070</v>
      </c>
      <c r="B856" s="242" t="s">
        <v>2071</v>
      </c>
      <c r="C856" s="242"/>
      <c r="D856" s="242"/>
      <c r="E856" s="453">
        <v>2766696</v>
      </c>
      <c r="F856" s="451">
        <v>2766696</v>
      </c>
      <c r="G856" s="459">
        <f t="shared" si="13"/>
        <v>100</v>
      </c>
    </row>
    <row r="857" spans="1:7" ht="25.5">
      <c r="A857" s="241" t="s">
        <v>1327</v>
      </c>
      <c r="B857" s="242" t="s">
        <v>2071</v>
      </c>
      <c r="C857" s="242" t="s">
        <v>1328</v>
      </c>
      <c r="D857" s="242"/>
      <c r="E857" s="453">
        <v>2766696</v>
      </c>
      <c r="F857" s="451">
        <v>2766696</v>
      </c>
      <c r="G857" s="459">
        <f t="shared" si="13"/>
        <v>100</v>
      </c>
    </row>
    <row r="858" spans="1:7">
      <c r="A858" s="241" t="s">
        <v>1198</v>
      </c>
      <c r="B858" s="242" t="s">
        <v>2071</v>
      </c>
      <c r="C858" s="242" t="s">
        <v>1199</v>
      </c>
      <c r="D858" s="242"/>
      <c r="E858" s="453">
        <v>2766696</v>
      </c>
      <c r="F858" s="451">
        <v>2766696</v>
      </c>
      <c r="G858" s="459">
        <f t="shared" si="13"/>
        <v>100</v>
      </c>
    </row>
    <row r="859" spans="1:7">
      <c r="A859" s="241" t="s">
        <v>249</v>
      </c>
      <c r="B859" s="242" t="s">
        <v>2071</v>
      </c>
      <c r="C859" s="242" t="s">
        <v>1199</v>
      </c>
      <c r="D859" s="242" t="s">
        <v>1148</v>
      </c>
      <c r="E859" s="453">
        <v>2766696</v>
      </c>
      <c r="F859" s="451">
        <v>2766696</v>
      </c>
      <c r="G859" s="459">
        <f t="shared" si="13"/>
        <v>100</v>
      </c>
    </row>
    <row r="860" spans="1:7">
      <c r="A860" s="241" t="s">
        <v>209</v>
      </c>
      <c r="B860" s="242" t="s">
        <v>2071</v>
      </c>
      <c r="C860" s="242" t="s">
        <v>1199</v>
      </c>
      <c r="D860" s="242" t="s">
        <v>392</v>
      </c>
      <c r="E860" s="453">
        <v>2766696</v>
      </c>
      <c r="F860" s="451">
        <v>2766696</v>
      </c>
      <c r="G860" s="459">
        <f t="shared" si="13"/>
        <v>100</v>
      </c>
    </row>
    <row r="861" spans="1:7" ht="89.25">
      <c r="A861" s="241" t="s">
        <v>516</v>
      </c>
      <c r="B861" s="242" t="s">
        <v>720</v>
      </c>
      <c r="C861" s="242"/>
      <c r="D861" s="242"/>
      <c r="E861" s="453">
        <v>69792273</v>
      </c>
      <c r="F861" s="451">
        <v>69138000</v>
      </c>
      <c r="G861" s="459">
        <f t="shared" si="13"/>
        <v>99.062542353363398</v>
      </c>
    </row>
    <row r="862" spans="1:7" ht="25.5">
      <c r="A862" s="241" t="s">
        <v>1327</v>
      </c>
      <c r="B862" s="242" t="s">
        <v>720</v>
      </c>
      <c r="C862" s="242" t="s">
        <v>1328</v>
      </c>
      <c r="D862" s="242"/>
      <c r="E862" s="453">
        <v>69792273</v>
      </c>
      <c r="F862" s="451">
        <v>69138000</v>
      </c>
      <c r="G862" s="459">
        <f t="shared" si="13"/>
        <v>99.062542353363398</v>
      </c>
    </row>
    <row r="863" spans="1:7">
      <c r="A863" s="241" t="s">
        <v>1198</v>
      </c>
      <c r="B863" s="242" t="s">
        <v>720</v>
      </c>
      <c r="C863" s="242" t="s">
        <v>1199</v>
      </c>
      <c r="D863" s="242"/>
      <c r="E863" s="453">
        <v>69792273</v>
      </c>
      <c r="F863" s="451">
        <v>69138000</v>
      </c>
      <c r="G863" s="459">
        <f t="shared" si="13"/>
        <v>99.062542353363398</v>
      </c>
    </row>
    <row r="864" spans="1:7">
      <c r="A864" s="241" t="s">
        <v>249</v>
      </c>
      <c r="B864" s="242" t="s">
        <v>720</v>
      </c>
      <c r="C864" s="242" t="s">
        <v>1199</v>
      </c>
      <c r="D864" s="242" t="s">
        <v>1148</v>
      </c>
      <c r="E864" s="453">
        <v>69792273</v>
      </c>
      <c r="F864" s="451">
        <v>69138000</v>
      </c>
      <c r="G864" s="459">
        <f t="shared" si="13"/>
        <v>99.062542353363398</v>
      </c>
    </row>
    <row r="865" spans="1:7">
      <c r="A865" s="241" t="s">
        <v>209</v>
      </c>
      <c r="B865" s="242" t="s">
        <v>720</v>
      </c>
      <c r="C865" s="242" t="s">
        <v>1199</v>
      </c>
      <c r="D865" s="242" t="s">
        <v>392</v>
      </c>
      <c r="E865" s="453">
        <v>69792273</v>
      </c>
      <c r="F865" s="451">
        <v>69138000</v>
      </c>
      <c r="G865" s="459">
        <f t="shared" si="13"/>
        <v>99.062542353363398</v>
      </c>
    </row>
    <row r="866" spans="1:7" ht="114.75">
      <c r="A866" s="241" t="s">
        <v>517</v>
      </c>
      <c r="B866" s="242" t="s">
        <v>721</v>
      </c>
      <c r="C866" s="242"/>
      <c r="D866" s="242"/>
      <c r="E866" s="453">
        <v>245000</v>
      </c>
      <c r="F866" s="451">
        <v>245000</v>
      </c>
      <c r="G866" s="459">
        <f t="shared" si="13"/>
        <v>100</v>
      </c>
    </row>
    <row r="867" spans="1:7" ht="25.5">
      <c r="A867" s="241" t="s">
        <v>1327</v>
      </c>
      <c r="B867" s="242" t="s">
        <v>721</v>
      </c>
      <c r="C867" s="242" t="s">
        <v>1328</v>
      </c>
      <c r="D867" s="242"/>
      <c r="E867" s="453">
        <v>245000</v>
      </c>
      <c r="F867" s="451">
        <v>245000</v>
      </c>
      <c r="G867" s="459">
        <f t="shared" si="13"/>
        <v>100</v>
      </c>
    </row>
    <row r="868" spans="1:7">
      <c r="A868" s="241" t="s">
        <v>1198</v>
      </c>
      <c r="B868" s="242" t="s">
        <v>721</v>
      </c>
      <c r="C868" s="242" t="s">
        <v>1199</v>
      </c>
      <c r="D868" s="242"/>
      <c r="E868" s="453">
        <v>245000</v>
      </c>
      <c r="F868" s="451">
        <v>245000</v>
      </c>
      <c r="G868" s="459">
        <f t="shared" si="13"/>
        <v>100</v>
      </c>
    </row>
    <row r="869" spans="1:7">
      <c r="A869" s="241" t="s">
        <v>249</v>
      </c>
      <c r="B869" s="242" t="s">
        <v>721</v>
      </c>
      <c r="C869" s="242" t="s">
        <v>1199</v>
      </c>
      <c r="D869" s="242" t="s">
        <v>1148</v>
      </c>
      <c r="E869" s="453">
        <v>245000</v>
      </c>
      <c r="F869" s="451">
        <v>245000</v>
      </c>
      <c r="G869" s="459">
        <f t="shared" si="13"/>
        <v>100</v>
      </c>
    </row>
    <row r="870" spans="1:7">
      <c r="A870" s="241" t="s">
        <v>209</v>
      </c>
      <c r="B870" s="242" t="s">
        <v>721</v>
      </c>
      <c r="C870" s="242" t="s">
        <v>1199</v>
      </c>
      <c r="D870" s="242" t="s">
        <v>392</v>
      </c>
      <c r="E870" s="453">
        <v>245000</v>
      </c>
      <c r="F870" s="451">
        <v>245000</v>
      </c>
      <c r="G870" s="459">
        <f t="shared" si="13"/>
        <v>100</v>
      </c>
    </row>
    <row r="871" spans="1:7" ht="102">
      <c r="A871" s="241" t="s">
        <v>518</v>
      </c>
      <c r="B871" s="242" t="s">
        <v>722</v>
      </c>
      <c r="C871" s="242"/>
      <c r="D871" s="242"/>
      <c r="E871" s="453">
        <v>309395</v>
      </c>
      <c r="F871" s="451">
        <v>309395</v>
      </c>
      <c r="G871" s="459">
        <f t="shared" si="13"/>
        <v>100</v>
      </c>
    </row>
    <row r="872" spans="1:7" ht="25.5">
      <c r="A872" s="241" t="s">
        <v>1327</v>
      </c>
      <c r="B872" s="242" t="s">
        <v>722</v>
      </c>
      <c r="C872" s="242" t="s">
        <v>1328</v>
      </c>
      <c r="D872" s="242"/>
      <c r="E872" s="453">
        <v>309395</v>
      </c>
      <c r="F872" s="451">
        <v>309395</v>
      </c>
      <c r="G872" s="459">
        <f t="shared" si="13"/>
        <v>100</v>
      </c>
    </row>
    <row r="873" spans="1:7">
      <c r="A873" s="241" t="s">
        <v>1198</v>
      </c>
      <c r="B873" s="242" t="s">
        <v>722</v>
      </c>
      <c r="C873" s="242" t="s">
        <v>1199</v>
      </c>
      <c r="D873" s="242"/>
      <c r="E873" s="453">
        <v>309395</v>
      </c>
      <c r="F873" s="451">
        <v>309395</v>
      </c>
      <c r="G873" s="459">
        <f t="shared" si="13"/>
        <v>100</v>
      </c>
    </row>
    <row r="874" spans="1:7">
      <c r="A874" s="241" t="s">
        <v>249</v>
      </c>
      <c r="B874" s="242" t="s">
        <v>722</v>
      </c>
      <c r="C874" s="242" t="s">
        <v>1199</v>
      </c>
      <c r="D874" s="242" t="s">
        <v>1148</v>
      </c>
      <c r="E874" s="453">
        <v>309395</v>
      </c>
      <c r="F874" s="451">
        <v>309395</v>
      </c>
      <c r="G874" s="459">
        <f t="shared" si="13"/>
        <v>100</v>
      </c>
    </row>
    <row r="875" spans="1:7">
      <c r="A875" s="241" t="s">
        <v>209</v>
      </c>
      <c r="B875" s="242" t="s">
        <v>722</v>
      </c>
      <c r="C875" s="242" t="s">
        <v>1199</v>
      </c>
      <c r="D875" s="242" t="s">
        <v>392</v>
      </c>
      <c r="E875" s="453">
        <v>309395</v>
      </c>
      <c r="F875" s="451">
        <v>309395</v>
      </c>
      <c r="G875" s="459">
        <f t="shared" si="13"/>
        <v>100</v>
      </c>
    </row>
    <row r="876" spans="1:7" ht="76.5">
      <c r="A876" s="241" t="s">
        <v>519</v>
      </c>
      <c r="B876" s="242" t="s">
        <v>723</v>
      </c>
      <c r="C876" s="242"/>
      <c r="D876" s="242"/>
      <c r="E876" s="453">
        <v>362259.56</v>
      </c>
      <c r="F876" s="451">
        <v>304019.90999999997</v>
      </c>
      <c r="G876" s="459">
        <f t="shared" si="13"/>
        <v>83.923226208302125</v>
      </c>
    </row>
    <row r="877" spans="1:7" ht="25.5">
      <c r="A877" s="241" t="s">
        <v>1327</v>
      </c>
      <c r="B877" s="242" t="s">
        <v>723</v>
      </c>
      <c r="C877" s="242" t="s">
        <v>1328</v>
      </c>
      <c r="D877" s="242"/>
      <c r="E877" s="453">
        <v>362259.56</v>
      </c>
      <c r="F877" s="451">
        <v>304019.90999999997</v>
      </c>
      <c r="G877" s="459">
        <f t="shared" si="13"/>
        <v>83.923226208302125</v>
      </c>
    </row>
    <row r="878" spans="1:7">
      <c r="A878" s="241" t="s">
        <v>1198</v>
      </c>
      <c r="B878" s="242" t="s">
        <v>723</v>
      </c>
      <c r="C878" s="242" t="s">
        <v>1199</v>
      </c>
      <c r="D878" s="242"/>
      <c r="E878" s="453">
        <v>362259.56</v>
      </c>
      <c r="F878" s="451">
        <v>304019.90999999997</v>
      </c>
      <c r="G878" s="459">
        <f t="shared" si="13"/>
        <v>83.923226208302125</v>
      </c>
    </row>
    <row r="879" spans="1:7">
      <c r="A879" s="241" t="s">
        <v>249</v>
      </c>
      <c r="B879" s="242" t="s">
        <v>723</v>
      </c>
      <c r="C879" s="242" t="s">
        <v>1199</v>
      </c>
      <c r="D879" s="242" t="s">
        <v>1148</v>
      </c>
      <c r="E879" s="453">
        <v>362259.56</v>
      </c>
      <c r="F879" s="451">
        <v>304019.90999999997</v>
      </c>
      <c r="G879" s="459">
        <f t="shared" si="13"/>
        <v>83.923226208302125</v>
      </c>
    </row>
    <row r="880" spans="1:7">
      <c r="A880" s="241" t="s">
        <v>209</v>
      </c>
      <c r="B880" s="242" t="s">
        <v>723</v>
      </c>
      <c r="C880" s="242" t="s">
        <v>1199</v>
      </c>
      <c r="D880" s="242" t="s">
        <v>392</v>
      </c>
      <c r="E880" s="453">
        <v>362259.56</v>
      </c>
      <c r="F880" s="451">
        <v>304019.90999999997</v>
      </c>
      <c r="G880" s="459">
        <f t="shared" si="13"/>
        <v>83.923226208302125</v>
      </c>
    </row>
    <row r="881" spans="1:7" ht="89.25">
      <c r="A881" s="241" t="s">
        <v>570</v>
      </c>
      <c r="B881" s="242" t="s">
        <v>724</v>
      </c>
      <c r="C881" s="242"/>
      <c r="D881" s="242"/>
      <c r="E881" s="453">
        <v>22500000</v>
      </c>
      <c r="F881" s="451">
        <v>21007797.530000001</v>
      </c>
      <c r="G881" s="459">
        <f t="shared" si="13"/>
        <v>93.367989022222233</v>
      </c>
    </row>
    <row r="882" spans="1:7" ht="25.5">
      <c r="A882" s="241" t="s">
        <v>1327</v>
      </c>
      <c r="B882" s="242" t="s">
        <v>724</v>
      </c>
      <c r="C882" s="242" t="s">
        <v>1328</v>
      </c>
      <c r="D882" s="242"/>
      <c r="E882" s="453">
        <v>22500000</v>
      </c>
      <c r="F882" s="451">
        <v>21007797.530000001</v>
      </c>
      <c r="G882" s="459">
        <f t="shared" si="13"/>
        <v>93.367989022222233</v>
      </c>
    </row>
    <row r="883" spans="1:7">
      <c r="A883" s="241" t="s">
        <v>1198</v>
      </c>
      <c r="B883" s="242" t="s">
        <v>724</v>
      </c>
      <c r="C883" s="242" t="s">
        <v>1199</v>
      </c>
      <c r="D883" s="242"/>
      <c r="E883" s="453">
        <v>22500000</v>
      </c>
      <c r="F883" s="451">
        <v>21007797.530000001</v>
      </c>
      <c r="G883" s="459">
        <f t="shared" si="13"/>
        <v>93.367989022222233</v>
      </c>
    </row>
    <row r="884" spans="1:7">
      <c r="A884" s="241" t="s">
        <v>249</v>
      </c>
      <c r="B884" s="242" t="s">
        <v>724</v>
      </c>
      <c r="C884" s="242" t="s">
        <v>1199</v>
      </c>
      <c r="D884" s="242" t="s">
        <v>1148</v>
      </c>
      <c r="E884" s="453">
        <v>22500000</v>
      </c>
      <c r="F884" s="451">
        <v>21007797.530000001</v>
      </c>
      <c r="G884" s="459">
        <f t="shared" si="13"/>
        <v>93.367989022222233</v>
      </c>
    </row>
    <row r="885" spans="1:7">
      <c r="A885" s="241" t="s">
        <v>209</v>
      </c>
      <c r="B885" s="242" t="s">
        <v>724</v>
      </c>
      <c r="C885" s="242" t="s">
        <v>1199</v>
      </c>
      <c r="D885" s="242" t="s">
        <v>392</v>
      </c>
      <c r="E885" s="453">
        <v>22500000</v>
      </c>
      <c r="F885" s="451">
        <v>21007797.530000001</v>
      </c>
      <c r="G885" s="459">
        <f t="shared" si="13"/>
        <v>93.367989022222233</v>
      </c>
    </row>
    <row r="886" spans="1:7" ht="63.75">
      <c r="A886" s="241" t="s">
        <v>1633</v>
      </c>
      <c r="B886" s="242" t="s">
        <v>1634</v>
      </c>
      <c r="C886" s="242"/>
      <c r="D886" s="242"/>
      <c r="E886" s="453">
        <v>380000</v>
      </c>
      <c r="F886" s="451">
        <v>306816.06</v>
      </c>
      <c r="G886" s="459">
        <f t="shared" si="13"/>
        <v>80.741068421052631</v>
      </c>
    </row>
    <row r="887" spans="1:7" ht="25.5">
      <c r="A887" s="241" t="s">
        <v>1327</v>
      </c>
      <c r="B887" s="242" t="s">
        <v>1634</v>
      </c>
      <c r="C887" s="242" t="s">
        <v>1328</v>
      </c>
      <c r="D887" s="242"/>
      <c r="E887" s="453">
        <v>380000</v>
      </c>
      <c r="F887" s="451">
        <v>306816.06</v>
      </c>
      <c r="G887" s="459">
        <f t="shared" si="13"/>
        <v>80.741068421052631</v>
      </c>
    </row>
    <row r="888" spans="1:7">
      <c r="A888" s="241" t="s">
        <v>1198</v>
      </c>
      <c r="B888" s="242" t="s">
        <v>1634</v>
      </c>
      <c r="C888" s="242" t="s">
        <v>1199</v>
      </c>
      <c r="D888" s="242"/>
      <c r="E888" s="453">
        <v>380000</v>
      </c>
      <c r="F888" s="451">
        <v>306816.06</v>
      </c>
      <c r="G888" s="459">
        <f t="shared" si="13"/>
        <v>80.741068421052631</v>
      </c>
    </row>
    <row r="889" spans="1:7">
      <c r="A889" s="241" t="s">
        <v>249</v>
      </c>
      <c r="B889" s="242" t="s">
        <v>1634</v>
      </c>
      <c r="C889" s="242" t="s">
        <v>1199</v>
      </c>
      <c r="D889" s="242" t="s">
        <v>1148</v>
      </c>
      <c r="E889" s="453">
        <v>380000</v>
      </c>
      <c r="F889" s="451">
        <v>306816.06</v>
      </c>
      <c r="G889" s="459">
        <f t="shared" si="13"/>
        <v>80.741068421052631</v>
      </c>
    </row>
    <row r="890" spans="1:7">
      <c r="A890" s="241" t="s">
        <v>209</v>
      </c>
      <c r="B890" s="242" t="s">
        <v>1634</v>
      </c>
      <c r="C890" s="242" t="s">
        <v>1199</v>
      </c>
      <c r="D890" s="242" t="s">
        <v>392</v>
      </c>
      <c r="E890" s="453">
        <v>380000</v>
      </c>
      <c r="F890" s="451">
        <v>306816.06</v>
      </c>
      <c r="G890" s="459">
        <f t="shared" si="13"/>
        <v>80.741068421052631</v>
      </c>
    </row>
    <row r="891" spans="1:7" ht="76.5">
      <c r="A891" s="241" t="s">
        <v>960</v>
      </c>
      <c r="B891" s="242" t="s">
        <v>961</v>
      </c>
      <c r="C891" s="242"/>
      <c r="D891" s="242"/>
      <c r="E891" s="453">
        <v>3350000</v>
      </c>
      <c r="F891" s="451">
        <v>2150905.2999999998</v>
      </c>
      <c r="G891" s="459">
        <f t="shared" si="13"/>
        <v>64.206128358208943</v>
      </c>
    </row>
    <row r="892" spans="1:7" ht="25.5">
      <c r="A892" s="241" t="s">
        <v>1327</v>
      </c>
      <c r="B892" s="242" t="s">
        <v>961</v>
      </c>
      <c r="C892" s="242" t="s">
        <v>1328</v>
      </c>
      <c r="D892" s="242"/>
      <c r="E892" s="453">
        <v>3350000</v>
      </c>
      <c r="F892" s="451">
        <v>2150905.2999999998</v>
      </c>
      <c r="G892" s="459">
        <f t="shared" si="13"/>
        <v>64.206128358208943</v>
      </c>
    </row>
    <row r="893" spans="1:7">
      <c r="A893" s="241" t="s">
        <v>1198</v>
      </c>
      <c r="B893" s="242" t="s">
        <v>961</v>
      </c>
      <c r="C893" s="242" t="s">
        <v>1199</v>
      </c>
      <c r="D893" s="242"/>
      <c r="E893" s="453">
        <v>3350000</v>
      </c>
      <c r="F893" s="451">
        <v>2150905.2999999998</v>
      </c>
      <c r="G893" s="459">
        <f t="shared" si="13"/>
        <v>64.206128358208943</v>
      </c>
    </row>
    <row r="894" spans="1:7">
      <c r="A894" s="241" t="s">
        <v>249</v>
      </c>
      <c r="B894" s="242" t="s">
        <v>961</v>
      </c>
      <c r="C894" s="242" t="s">
        <v>1199</v>
      </c>
      <c r="D894" s="242" t="s">
        <v>1148</v>
      </c>
      <c r="E894" s="453">
        <v>3350000</v>
      </c>
      <c r="F894" s="451">
        <v>2150905.2999999998</v>
      </c>
      <c r="G894" s="459">
        <f t="shared" si="13"/>
        <v>64.206128358208943</v>
      </c>
    </row>
    <row r="895" spans="1:7">
      <c r="A895" s="241" t="s">
        <v>209</v>
      </c>
      <c r="B895" s="242" t="s">
        <v>961</v>
      </c>
      <c r="C895" s="242" t="s">
        <v>1199</v>
      </c>
      <c r="D895" s="242" t="s">
        <v>392</v>
      </c>
      <c r="E895" s="453">
        <v>3350000</v>
      </c>
      <c r="F895" s="451">
        <v>2150905.2999999998</v>
      </c>
      <c r="G895" s="459">
        <f t="shared" si="13"/>
        <v>64.206128358208943</v>
      </c>
    </row>
    <row r="896" spans="1:7" ht="51">
      <c r="A896" s="241" t="s">
        <v>508</v>
      </c>
      <c r="B896" s="242" t="s">
        <v>702</v>
      </c>
      <c r="C896" s="242"/>
      <c r="D896" s="242"/>
      <c r="E896" s="453">
        <v>1170650</v>
      </c>
      <c r="F896" s="451">
        <v>1170650</v>
      </c>
      <c r="G896" s="459">
        <f t="shared" si="13"/>
        <v>100</v>
      </c>
    </row>
    <row r="897" spans="1:7" ht="25.5">
      <c r="A897" s="241" t="s">
        <v>1327</v>
      </c>
      <c r="B897" s="242" t="s">
        <v>702</v>
      </c>
      <c r="C897" s="242" t="s">
        <v>1328</v>
      </c>
      <c r="D897" s="242"/>
      <c r="E897" s="453">
        <v>1170650</v>
      </c>
      <c r="F897" s="451">
        <v>1170650</v>
      </c>
      <c r="G897" s="459">
        <f t="shared" si="13"/>
        <v>100</v>
      </c>
    </row>
    <row r="898" spans="1:7">
      <c r="A898" s="241" t="s">
        <v>1198</v>
      </c>
      <c r="B898" s="242" t="s">
        <v>702</v>
      </c>
      <c r="C898" s="242" t="s">
        <v>1199</v>
      </c>
      <c r="D898" s="242"/>
      <c r="E898" s="453">
        <v>1170650</v>
      </c>
      <c r="F898" s="451">
        <v>1170650</v>
      </c>
      <c r="G898" s="459">
        <f t="shared" si="13"/>
        <v>100</v>
      </c>
    </row>
    <row r="899" spans="1:7">
      <c r="A899" s="241" t="s">
        <v>249</v>
      </c>
      <c r="B899" s="242" t="s">
        <v>702</v>
      </c>
      <c r="C899" s="242" t="s">
        <v>1199</v>
      </c>
      <c r="D899" s="242" t="s">
        <v>1148</v>
      </c>
      <c r="E899" s="453">
        <v>1170650</v>
      </c>
      <c r="F899" s="451">
        <v>1170650</v>
      </c>
      <c r="G899" s="459">
        <f t="shared" si="13"/>
        <v>100</v>
      </c>
    </row>
    <row r="900" spans="1:7">
      <c r="A900" s="241" t="s">
        <v>209</v>
      </c>
      <c r="B900" s="242" t="s">
        <v>702</v>
      </c>
      <c r="C900" s="242" t="s">
        <v>1199</v>
      </c>
      <c r="D900" s="242" t="s">
        <v>392</v>
      </c>
      <c r="E900" s="453">
        <v>1170650</v>
      </c>
      <c r="F900" s="451">
        <v>1170650</v>
      </c>
      <c r="G900" s="459">
        <f t="shared" si="13"/>
        <v>100</v>
      </c>
    </row>
    <row r="901" spans="1:7" ht="102">
      <c r="A901" s="241" t="s">
        <v>1808</v>
      </c>
      <c r="B901" s="242" t="s">
        <v>2207</v>
      </c>
      <c r="C901" s="242"/>
      <c r="D901" s="242"/>
      <c r="E901" s="453">
        <v>170416</v>
      </c>
      <c r="F901" s="451">
        <v>170416</v>
      </c>
      <c r="G901" s="459">
        <f t="shared" si="13"/>
        <v>100</v>
      </c>
    </row>
    <row r="902" spans="1:7" ht="25.5">
      <c r="A902" s="241" t="s">
        <v>1327</v>
      </c>
      <c r="B902" s="242" t="s">
        <v>2207</v>
      </c>
      <c r="C902" s="242" t="s">
        <v>1328</v>
      </c>
      <c r="D902" s="242"/>
      <c r="E902" s="453">
        <v>170416</v>
      </c>
      <c r="F902" s="451">
        <v>170416</v>
      </c>
      <c r="G902" s="459">
        <f t="shared" si="13"/>
        <v>100</v>
      </c>
    </row>
    <row r="903" spans="1:7">
      <c r="A903" s="241" t="s">
        <v>1198</v>
      </c>
      <c r="B903" s="242" t="s">
        <v>2207</v>
      </c>
      <c r="C903" s="242" t="s">
        <v>1199</v>
      </c>
      <c r="D903" s="242"/>
      <c r="E903" s="453">
        <v>170416</v>
      </c>
      <c r="F903" s="451">
        <v>170416</v>
      </c>
      <c r="G903" s="459">
        <f t="shared" ref="G903:G966" si="14">F903/E903*100</f>
        <v>100</v>
      </c>
    </row>
    <row r="904" spans="1:7">
      <c r="A904" s="241" t="s">
        <v>249</v>
      </c>
      <c r="B904" s="242" t="s">
        <v>2207</v>
      </c>
      <c r="C904" s="242" t="s">
        <v>1199</v>
      </c>
      <c r="D904" s="242" t="s">
        <v>1148</v>
      </c>
      <c r="E904" s="453">
        <v>170416</v>
      </c>
      <c r="F904" s="451">
        <v>170416</v>
      </c>
      <c r="G904" s="459">
        <f t="shared" si="14"/>
        <v>100</v>
      </c>
    </row>
    <row r="905" spans="1:7">
      <c r="A905" s="241" t="s">
        <v>209</v>
      </c>
      <c r="B905" s="242" t="s">
        <v>2207</v>
      </c>
      <c r="C905" s="242" t="s">
        <v>1199</v>
      </c>
      <c r="D905" s="242" t="s">
        <v>392</v>
      </c>
      <c r="E905" s="453">
        <v>170416</v>
      </c>
      <c r="F905" s="451">
        <v>170416</v>
      </c>
      <c r="G905" s="459">
        <f t="shared" si="14"/>
        <v>100</v>
      </c>
    </row>
    <row r="906" spans="1:7" ht="25.5">
      <c r="A906" s="241" t="s">
        <v>595</v>
      </c>
      <c r="B906" s="242" t="s">
        <v>984</v>
      </c>
      <c r="C906" s="242"/>
      <c r="D906" s="242"/>
      <c r="E906" s="453">
        <v>198928826.72</v>
      </c>
      <c r="F906" s="451">
        <v>198191596.02000001</v>
      </c>
      <c r="G906" s="459">
        <f t="shared" si="14"/>
        <v>99.629399764651666</v>
      </c>
    </row>
    <row r="907" spans="1:7" ht="89.25">
      <c r="A907" s="241" t="s">
        <v>2223</v>
      </c>
      <c r="B907" s="242" t="s">
        <v>2224</v>
      </c>
      <c r="C907" s="242"/>
      <c r="D907" s="242"/>
      <c r="E907" s="453">
        <v>5597878</v>
      </c>
      <c r="F907" s="451">
        <v>5597878</v>
      </c>
      <c r="G907" s="459">
        <f t="shared" si="14"/>
        <v>100</v>
      </c>
    </row>
    <row r="908" spans="1:7" ht="63.75">
      <c r="A908" s="241" t="s">
        <v>1318</v>
      </c>
      <c r="B908" s="242" t="s">
        <v>2224</v>
      </c>
      <c r="C908" s="242" t="s">
        <v>273</v>
      </c>
      <c r="D908" s="242"/>
      <c r="E908" s="453">
        <v>4491178</v>
      </c>
      <c r="F908" s="451">
        <v>4491178</v>
      </c>
      <c r="G908" s="459">
        <f t="shared" si="14"/>
        <v>100</v>
      </c>
    </row>
    <row r="909" spans="1:7">
      <c r="A909" s="241" t="s">
        <v>1190</v>
      </c>
      <c r="B909" s="242" t="s">
        <v>2224</v>
      </c>
      <c r="C909" s="242" t="s">
        <v>133</v>
      </c>
      <c r="D909" s="242"/>
      <c r="E909" s="453">
        <v>4491178</v>
      </c>
      <c r="F909" s="451">
        <v>4491178</v>
      </c>
      <c r="G909" s="459">
        <f t="shared" si="14"/>
        <v>100</v>
      </c>
    </row>
    <row r="910" spans="1:7">
      <c r="A910" s="241" t="s">
        <v>249</v>
      </c>
      <c r="B910" s="242" t="s">
        <v>2224</v>
      </c>
      <c r="C910" s="242" t="s">
        <v>133</v>
      </c>
      <c r="D910" s="242" t="s">
        <v>1148</v>
      </c>
      <c r="E910" s="453">
        <v>4491178</v>
      </c>
      <c r="F910" s="451">
        <v>4491178</v>
      </c>
      <c r="G910" s="459">
        <f t="shared" si="14"/>
        <v>100</v>
      </c>
    </row>
    <row r="911" spans="1:7">
      <c r="A911" s="241" t="s">
        <v>0</v>
      </c>
      <c r="B911" s="242" t="s">
        <v>2224</v>
      </c>
      <c r="C911" s="242" t="s">
        <v>133</v>
      </c>
      <c r="D911" s="242" t="s">
        <v>402</v>
      </c>
      <c r="E911" s="453">
        <v>4491178</v>
      </c>
      <c r="F911" s="451">
        <v>4491178</v>
      </c>
      <c r="G911" s="459">
        <f t="shared" si="14"/>
        <v>100</v>
      </c>
    </row>
    <row r="912" spans="1:7" ht="25.5">
      <c r="A912" s="241" t="s">
        <v>1327</v>
      </c>
      <c r="B912" s="242" t="s">
        <v>2224</v>
      </c>
      <c r="C912" s="242" t="s">
        <v>1328</v>
      </c>
      <c r="D912" s="242"/>
      <c r="E912" s="453">
        <v>1106700</v>
      </c>
      <c r="F912" s="451">
        <v>1106700</v>
      </c>
      <c r="G912" s="459">
        <f t="shared" si="14"/>
        <v>100</v>
      </c>
    </row>
    <row r="913" spans="1:7">
      <c r="A913" s="241" t="s">
        <v>1198</v>
      </c>
      <c r="B913" s="242" t="s">
        <v>2224</v>
      </c>
      <c r="C913" s="242" t="s">
        <v>1199</v>
      </c>
      <c r="D913" s="242"/>
      <c r="E913" s="453">
        <v>1106700</v>
      </c>
      <c r="F913" s="451">
        <v>1106700</v>
      </c>
      <c r="G913" s="459">
        <f t="shared" si="14"/>
        <v>100</v>
      </c>
    </row>
    <row r="914" spans="1:7">
      <c r="A914" s="241" t="s">
        <v>140</v>
      </c>
      <c r="B914" s="242" t="s">
        <v>2224</v>
      </c>
      <c r="C914" s="242" t="s">
        <v>1199</v>
      </c>
      <c r="D914" s="242" t="s">
        <v>1142</v>
      </c>
      <c r="E914" s="453">
        <v>1106700</v>
      </c>
      <c r="F914" s="451">
        <v>1106700</v>
      </c>
      <c r="G914" s="459">
        <f t="shared" si="14"/>
        <v>100</v>
      </c>
    </row>
    <row r="915" spans="1:7">
      <c r="A915" s="241" t="s">
        <v>1077</v>
      </c>
      <c r="B915" s="242" t="s">
        <v>2224</v>
      </c>
      <c r="C915" s="242" t="s">
        <v>1199</v>
      </c>
      <c r="D915" s="242" t="s">
        <v>1078</v>
      </c>
      <c r="E915" s="453">
        <v>1106700</v>
      </c>
      <c r="F915" s="451">
        <v>1106700</v>
      </c>
      <c r="G915" s="459">
        <f t="shared" si="14"/>
        <v>100</v>
      </c>
    </row>
    <row r="916" spans="1:7" ht="76.5">
      <c r="A916" s="241" t="s">
        <v>2052</v>
      </c>
      <c r="B916" s="242" t="s">
        <v>2053</v>
      </c>
      <c r="C916" s="242"/>
      <c r="D916" s="242"/>
      <c r="E916" s="453">
        <v>613000</v>
      </c>
      <c r="F916" s="451">
        <v>613000</v>
      </c>
      <c r="G916" s="459">
        <f t="shared" si="14"/>
        <v>100</v>
      </c>
    </row>
    <row r="917" spans="1:7" ht="25.5">
      <c r="A917" s="241" t="s">
        <v>1327</v>
      </c>
      <c r="B917" s="242" t="s">
        <v>2053</v>
      </c>
      <c r="C917" s="242" t="s">
        <v>1328</v>
      </c>
      <c r="D917" s="242"/>
      <c r="E917" s="453">
        <v>613000</v>
      </c>
      <c r="F917" s="451">
        <v>613000</v>
      </c>
      <c r="G917" s="459">
        <f t="shared" si="14"/>
        <v>100</v>
      </c>
    </row>
    <row r="918" spans="1:7">
      <c r="A918" s="241" t="s">
        <v>1198</v>
      </c>
      <c r="B918" s="242" t="s">
        <v>2053</v>
      </c>
      <c r="C918" s="242" t="s">
        <v>1199</v>
      </c>
      <c r="D918" s="242"/>
      <c r="E918" s="453">
        <v>613000</v>
      </c>
      <c r="F918" s="451">
        <v>613000</v>
      </c>
      <c r="G918" s="459">
        <f t="shared" si="14"/>
        <v>100</v>
      </c>
    </row>
    <row r="919" spans="1:7">
      <c r="A919" s="241" t="s">
        <v>140</v>
      </c>
      <c r="B919" s="242" t="s">
        <v>2053</v>
      </c>
      <c r="C919" s="242" t="s">
        <v>1199</v>
      </c>
      <c r="D919" s="242" t="s">
        <v>1142</v>
      </c>
      <c r="E919" s="453">
        <v>613000</v>
      </c>
      <c r="F919" s="451">
        <v>613000</v>
      </c>
      <c r="G919" s="459">
        <f t="shared" si="14"/>
        <v>100</v>
      </c>
    </row>
    <row r="920" spans="1:7">
      <c r="A920" s="241" t="s">
        <v>1077</v>
      </c>
      <c r="B920" s="242" t="s">
        <v>2053</v>
      </c>
      <c r="C920" s="242" t="s">
        <v>1199</v>
      </c>
      <c r="D920" s="242" t="s">
        <v>1078</v>
      </c>
      <c r="E920" s="453">
        <v>613000</v>
      </c>
      <c r="F920" s="451">
        <v>613000</v>
      </c>
      <c r="G920" s="459">
        <f t="shared" si="14"/>
        <v>100</v>
      </c>
    </row>
    <row r="921" spans="1:7" ht="127.5">
      <c r="A921" s="241" t="s">
        <v>2054</v>
      </c>
      <c r="B921" s="242" t="s">
        <v>2055</v>
      </c>
      <c r="C921" s="242"/>
      <c r="D921" s="242"/>
      <c r="E921" s="453">
        <v>5500000</v>
      </c>
      <c r="F921" s="451">
        <v>5500000</v>
      </c>
      <c r="G921" s="459">
        <f t="shared" si="14"/>
        <v>100</v>
      </c>
    </row>
    <row r="922" spans="1:7" ht="63.75">
      <c r="A922" s="241" t="s">
        <v>1318</v>
      </c>
      <c r="B922" s="242" t="s">
        <v>2055</v>
      </c>
      <c r="C922" s="242" t="s">
        <v>273</v>
      </c>
      <c r="D922" s="242"/>
      <c r="E922" s="453">
        <v>3300000</v>
      </c>
      <c r="F922" s="451">
        <v>3300000</v>
      </c>
      <c r="G922" s="459">
        <f t="shared" si="14"/>
        <v>100</v>
      </c>
    </row>
    <row r="923" spans="1:7">
      <c r="A923" s="241" t="s">
        <v>1190</v>
      </c>
      <c r="B923" s="242" t="s">
        <v>2055</v>
      </c>
      <c r="C923" s="242" t="s">
        <v>133</v>
      </c>
      <c r="D923" s="242"/>
      <c r="E923" s="453">
        <v>3300000</v>
      </c>
      <c r="F923" s="451">
        <v>3300000</v>
      </c>
      <c r="G923" s="459">
        <f t="shared" si="14"/>
        <v>100</v>
      </c>
    </row>
    <row r="924" spans="1:7">
      <c r="A924" s="241" t="s">
        <v>249</v>
      </c>
      <c r="B924" s="242" t="s">
        <v>2055</v>
      </c>
      <c r="C924" s="242" t="s">
        <v>133</v>
      </c>
      <c r="D924" s="242" t="s">
        <v>1148</v>
      </c>
      <c r="E924" s="453">
        <v>3300000</v>
      </c>
      <c r="F924" s="451">
        <v>3300000</v>
      </c>
      <c r="G924" s="459">
        <f t="shared" si="14"/>
        <v>100</v>
      </c>
    </row>
    <row r="925" spans="1:7">
      <c r="A925" s="241" t="s">
        <v>0</v>
      </c>
      <c r="B925" s="242" t="s">
        <v>2055</v>
      </c>
      <c r="C925" s="242" t="s">
        <v>133</v>
      </c>
      <c r="D925" s="242" t="s">
        <v>402</v>
      </c>
      <c r="E925" s="453">
        <v>3300000</v>
      </c>
      <c r="F925" s="451">
        <v>3300000</v>
      </c>
      <c r="G925" s="459">
        <f t="shared" si="14"/>
        <v>100</v>
      </c>
    </row>
    <row r="926" spans="1:7" ht="25.5">
      <c r="A926" s="241" t="s">
        <v>1327</v>
      </c>
      <c r="B926" s="242" t="s">
        <v>2055</v>
      </c>
      <c r="C926" s="242" t="s">
        <v>1328</v>
      </c>
      <c r="D926" s="242"/>
      <c r="E926" s="453">
        <v>2200000</v>
      </c>
      <c r="F926" s="451">
        <v>2200000</v>
      </c>
      <c r="G926" s="459">
        <f t="shared" si="14"/>
        <v>100</v>
      </c>
    </row>
    <row r="927" spans="1:7">
      <c r="A927" s="241" t="s">
        <v>1198</v>
      </c>
      <c r="B927" s="242" t="s">
        <v>2055</v>
      </c>
      <c r="C927" s="242" t="s">
        <v>1199</v>
      </c>
      <c r="D927" s="242"/>
      <c r="E927" s="453">
        <v>2200000</v>
      </c>
      <c r="F927" s="451">
        <v>2200000</v>
      </c>
      <c r="G927" s="459">
        <f t="shared" si="14"/>
        <v>100</v>
      </c>
    </row>
    <row r="928" spans="1:7">
      <c r="A928" s="241" t="s">
        <v>140</v>
      </c>
      <c r="B928" s="242" t="s">
        <v>2055</v>
      </c>
      <c r="C928" s="242" t="s">
        <v>1199</v>
      </c>
      <c r="D928" s="242" t="s">
        <v>1142</v>
      </c>
      <c r="E928" s="453">
        <v>2200000</v>
      </c>
      <c r="F928" s="451">
        <v>2200000</v>
      </c>
      <c r="G928" s="459">
        <f t="shared" si="14"/>
        <v>100</v>
      </c>
    </row>
    <row r="929" spans="1:7">
      <c r="A929" s="241" t="s">
        <v>1077</v>
      </c>
      <c r="B929" s="242" t="s">
        <v>2055</v>
      </c>
      <c r="C929" s="242" t="s">
        <v>1199</v>
      </c>
      <c r="D929" s="242" t="s">
        <v>1078</v>
      </c>
      <c r="E929" s="453">
        <v>2200000</v>
      </c>
      <c r="F929" s="451">
        <v>2200000</v>
      </c>
      <c r="G929" s="459">
        <f t="shared" si="14"/>
        <v>100</v>
      </c>
    </row>
    <row r="930" spans="1:7" ht="89.25">
      <c r="A930" s="241" t="s">
        <v>2056</v>
      </c>
      <c r="B930" s="242" t="s">
        <v>2057</v>
      </c>
      <c r="C930" s="242"/>
      <c r="D930" s="242"/>
      <c r="E930" s="453">
        <v>4779205</v>
      </c>
      <c r="F930" s="451">
        <v>4779205</v>
      </c>
      <c r="G930" s="459">
        <f t="shared" si="14"/>
        <v>100</v>
      </c>
    </row>
    <row r="931" spans="1:7" ht="63.75">
      <c r="A931" s="241" t="s">
        <v>1318</v>
      </c>
      <c r="B931" s="242" t="s">
        <v>2057</v>
      </c>
      <c r="C931" s="242" t="s">
        <v>273</v>
      </c>
      <c r="D931" s="242"/>
      <c r="E931" s="453">
        <v>2764788</v>
      </c>
      <c r="F931" s="451">
        <v>2764788</v>
      </c>
      <c r="G931" s="459">
        <f t="shared" si="14"/>
        <v>100</v>
      </c>
    </row>
    <row r="932" spans="1:7">
      <c r="A932" s="241" t="s">
        <v>1190</v>
      </c>
      <c r="B932" s="242" t="s">
        <v>2057</v>
      </c>
      <c r="C932" s="242" t="s">
        <v>133</v>
      </c>
      <c r="D932" s="242"/>
      <c r="E932" s="453">
        <v>2764788</v>
      </c>
      <c r="F932" s="451">
        <v>2764788</v>
      </c>
      <c r="G932" s="459">
        <f t="shared" si="14"/>
        <v>100</v>
      </c>
    </row>
    <row r="933" spans="1:7">
      <c r="A933" s="241" t="s">
        <v>249</v>
      </c>
      <c r="B933" s="242" t="s">
        <v>2057</v>
      </c>
      <c r="C933" s="242" t="s">
        <v>133</v>
      </c>
      <c r="D933" s="242" t="s">
        <v>1148</v>
      </c>
      <c r="E933" s="453">
        <v>2764788</v>
      </c>
      <c r="F933" s="451">
        <v>2764788</v>
      </c>
      <c r="G933" s="459">
        <f t="shared" si="14"/>
        <v>100</v>
      </c>
    </row>
    <row r="934" spans="1:7">
      <c r="A934" s="241" t="s">
        <v>0</v>
      </c>
      <c r="B934" s="242" t="s">
        <v>2057</v>
      </c>
      <c r="C934" s="242" t="s">
        <v>133</v>
      </c>
      <c r="D934" s="242" t="s">
        <v>402</v>
      </c>
      <c r="E934" s="453">
        <v>2764788</v>
      </c>
      <c r="F934" s="451">
        <v>2764788</v>
      </c>
      <c r="G934" s="459">
        <f t="shared" si="14"/>
        <v>100</v>
      </c>
    </row>
    <row r="935" spans="1:7" ht="25.5">
      <c r="A935" s="241" t="s">
        <v>1327</v>
      </c>
      <c r="B935" s="242" t="s">
        <v>2057</v>
      </c>
      <c r="C935" s="242" t="s">
        <v>1328</v>
      </c>
      <c r="D935" s="242"/>
      <c r="E935" s="453">
        <v>2014417</v>
      </c>
      <c r="F935" s="451">
        <v>2014417</v>
      </c>
      <c r="G935" s="459">
        <f t="shared" si="14"/>
        <v>100</v>
      </c>
    </row>
    <row r="936" spans="1:7">
      <c r="A936" s="241" t="s">
        <v>1198</v>
      </c>
      <c r="B936" s="242" t="s">
        <v>2057</v>
      </c>
      <c r="C936" s="242" t="s">
        <v>1199</v>
      </c>
      <c r="D936" s="242"/>
      <c r="E936" s="453">
        <v>2014417</v>
      </c>
      <c r="F936" s="451">
        <v>2014417</v>
      </c>
      <c r="G936" s="459">
        <f t="shared" si="14"/>
        <v>100</v>
      </c>
    </row>
    <row r="937" spans="1:7">
      <c r="A937" s="241" t="s">
        <v>140</v>
      </c>
      <c r="B937" s="242" t="s">
        <v>2057</v>
      </c>
      <c r="C937" s="242" t="s">
        <v>1199</v>
      </c>
      <c r="D937" s="242" t="s">
        <v>1142</v>
      </c>
      <c r="E937" s="453">
        <v>2014417</v>
      </c>
      <c r="F937" s="451">
        <v>2014417</v>
      </c>
      <c r="G937" s="459">
        <f t="shared" si="14"/>
        <v>100</v>
      </c>
    </row>
    <row r="938" spans="1:7">
      <c r="A938" s="241" t="s">
        <v>1077</v>
      </c>
      <c r="B938" s="242" t="s">
        <v>2057</v>
      </c>
      <c r="C938" s="242" t="s">
        <v>1199</v>
      </c>
      <c r="D938" s="242" t="s">
        <v>1078</v>
      </c>
      <c r="E938" s="453">
        <v>2014417</v>
      </c>
      <c r="F938" s="451">
        <v>2014417</v>
      </c>
      <c r="G938" s="459">
        <f t="shared" si="14"/>
        <v>100</v>
      </c>
    </row>
    <row r="939" spans="1:7" ht="102">
      <c r="A939" s="241" t="s">
        <v>509</v>
      </c>
      <c r="B939" s="242" t="s">
        <v>703</v>
      </c>
      <c r="C939" s="242"/>
      <c r="D939" s="242"/>
      <c r="E939" s="453">
        <v>82150519.450000003</v>
      </c>
      <c r="F939" s="451">
        <v>81986651.579999998</v>
      </c>
      <c r="G939" s="459">
        <f t="shared" si="14"/>
        <v>99.800527286866711</v>
      </c>
    </row>
    <row r="940" spans="1:7" ht="63.75">
      <c r="A940" s="241" t="s">
        <v>1318</v>
      </c>
      <c r="B940" s="242" t="s">
        <v>703</v>
      </c>
      <c r="C940" s="242" t="s">
        <v>273</v>
      </c>
      <c r="D940" s="242"/>
      <c r="E940" s="453">
        <v>40888186.729999997</v>
      </c>
      <c r="F940" s="451">
        <v>40845567.100000001</v>
      </c>
      <c r="G940" s="459">
        <f t="shared" si="14"/>
        <v>99.89576541928497</v>
      </c>
    </row>
    <row r="941" spans="1:7">
      <c r="A941" s="241" t="s">
        <v>1190</v>
      </c>
      <c r="B941" s="242" t="s">
        <v>703</v>
      </c>
      <c r="C941" s="242" t="s">
        <v>133</v>
      </c>
      <c r="D941" s="242"/>
      <c r="E941" s="453">
        <v>40888186.729999997</v>
      </c>
      <c r="F941" s="451">
        <v>40845567.100000001</v>
      </c>
      <c r="G941" s="459">
        <f t="shared" si="14"/>
        <v>99.89576541928497</v>
      </c>
    </row>
    <row r="942" spans="1:7">
      <c r="A942" s="241" t="s">
        <v>249</v>
      </c>
      <c r="B942" s="242" t="s">
        <v>703</v>
      </c>
      <c r="C942" s="242" t="s">
        <v>133</v>
      </c>
      <c r="D942" s="242" t="s">
        <v>1148</v>
      </c>
      <c r="E942" s="453">
        <v>40888186.729999997</v>
      </c>
      <c r="F942" s="451">
        <v>40845567.100000001</v>
      </c>
      <c r="G942" s="459">
        <f t="shared" si="14"/>
        <v>99.89576541928497</v>
      </c>
    </row>
    <row r="943" spans="1:7">
      <c r="A943" s="241" t="s">
        <v>0</v>
      </c>
      <c r="B943" s="242" t="s">
        <v>703</v>
      </c>
      <c r="C943" s="242" t="s">
        <v>133</v>
      </c>
      <c r="D943" s="242" t="s">
        <v>402</v>
      </c>
      <c r="E943" s="453">
        <v>40888186.729999997</v>
      </c>
      <c r="F943" s="451">
        <v>40845567.100000001</v>
      </c>
      <c r="G943" s="459">
        <f t="shared" si="14"/>
        <v>99.89576541928497</v>
      </c>
    </row>
    <row r="944" spans="1:7" ht="25.5">
      <c r="A944" s="241" t="s">
        <v>1319</v>
      </c>
      <c r="B944" s="242" t="s">
        <v>703</v>
      </c>
      <c r="C944" s="242" t="s">
        <v>1320</v>
      </c>
      <c r="D944" s="242"/>
      <c r="E944" s="453">
        <v>3220480.34</v>
      </c>
      <c r="F944" s="451">
        <v>3118788.98</v>
      </c>
      <c r="G944" s="459">
        <f t="shared" si="14"/>
        <v>96.842354268183485</v>
      </c>
    </row>
    <row r="945" spans="1:7" ht="25.5">
      <c r="A945" s="241" t="s">
        <v>1196</v>
      </c>
      <c r="B945" s="242" t="s">
        <v>703</v>
      </c>
      <c r="C945" s="242" t="s">
        <v>1197</v>
      </c>
      <c r="D945" s="242"/>
      <c r="E945" s="453">
        <v>3220480.34</v>
      </c>
      <c r="F945" s="451">
        <v>3118788.98</v>
      </c>
      <c r="G945" s="459">
        <f t="shared" si="14"/>
        <v>96.842354268183485</v>
      </c>
    </row>
    <row r="946" spans="1:7">
      <c r="A946" s="241" t="s">
        <v>249</v>
      </c>
      <c r="B946" s="242" t="s">
        <v>703</v>
      </c>
      <c r="C946" s="242" t="s">
        <v>1197</v>
      </c>
      <c r="D946" s="242" t="s">
        <v>1148</v>
      </c>
      <c r="E946" s="453">
        <v>3220480.34</v>
      </c>
      <c r="F946" s="451">
        <v>3118788.98</v>
      </c>
      <c r="G946" s="459">
        <f t="shared" si="14"/>
        <v>96.842354268183485</v>
      </c>
    </row>
    <row r="947" spans="1:7">
      <c r="A947" s="241" t="s">
        <v>0</v>
      </c>
      <c r="B947" s="242" t="s">
        <v>703</v>
      </c>
      <c r="C947" s="242" t="s">
        <v>1197</v>
      </c>
      <c r="D947" s="242" t="s">
        <v>402</v>
      </c>
      <c r="E947" s="453">
        <v>3220480.34</v>
      </c>
      <c r="F947" s="451">
        <v>3118788.98</v>
      </c>
      <c r="G947" s="459">
        <f t="shared" si="14"/>
        <v>96.842354268183485</v>
      </c>
    </row>
    <row r="948" spans="1:7">
      <c r="A948" s="241" t="s">
        <v>1323</v>
      </c>
      <c r="B948" s="242" t="s">
        <v>703</v>
      </c>
      <c r="C948" s="242" t="s">
        <v>1324</v>
      </c>
      <c r="D948" s="242"/>
      <c r="E948" s="453">
        <v>46816</v>
      </c>
      <c r="F948" s="451">
        <v>36176.17</v>
      </c>
      <c r="G948" s="459">
        <f t="shared" si="14"/>
        <v>77.273090396445653</v>
      </c>
    </row>
    <row r="949" spans="1:7" ht="25.5">
      <c r="A949" s="241" t="s">
        <v>1200</v>
      </c>
      <c r="B949" s="242" t="s">
        <v>703</v>
      </c>
      <c r="C949" s="242" t="s">
        <v>557</v>
      </c>
      <c r="D949" s="242"/>
      <c r="E949" s="453">
        <v>46816</v>
      </c>
      <c r="F949" s="451">
        <v>36176.17</v>
      </c>
      <c r="G949" s="459">
        <f t="shared" si="14"/>
        <v>77.273090396445653</v>
      </c>
    </row>
    <row r="950" spans="1:7">
      <c r="A950" s="241" t="s">
        <v>249</v>
      </c>
      <c r="B950" s="242" t="s">
        <v>703</v>
      </c>
      <c r="C950" s="242" t="s">
        <v>557</v>
      </c>
      <c r="D950" s="242" t="s">
        <v>1148</v>
      </c>
      <c r="E950" s="453">
        <v>46816</v>
      </c>
      <c r="F950" s="451">
        <v>36176.17</v>
      </c>
      <c r="G950" s="459">
        <f t="shared" si="14"/>
        <v>77.273090396445653</v>
      </c>
    </row>
    <row r="951" spans="1:7">
      <c r="A951" s="241" t="s">
        <v>0</v>
      </c>
      <c r="B951" s="242" t="s">
        <v>703</v>
      </c>
      <c r="C951" s="242" t="s">
        <v>557</v>
      </c>
      <c r="D951" s="242" t="s">
        <v>402</v>
      </c>
      <c r="E951" s="453">
        <v>46816</v>
      </c>
      <c r="F951" s="451">
        <v>36176.17</v>
      </c>
      <c r="G951" s="459">
        <f t="shared" si="14"/>
        <v>77.273090396445653</v>
      </c>
    </row>
    <row r="952" spans="1:7" ht="25.5">
      <c r="A952" s="241" t="s">
        <v>1327</v>
      </c>
      <c r="B952" s="242" t="s">
        <v>703</v>
      </c>
      <c r="C952" s="242" t="s">
        <v>1328</v>
      </c>
      <c r="D952" s="242"/>
      <c r="E952" s="453">
        <v>37981491.469999999</v>
      </c>
      <c r="F952" s="451">
        <v>37981491.469999999</v>
      </c>
      <c r="G952" s="459">
        <f t="shared" si="14"/>
        <v>100</v>
      </c>
    </row>
    <row r="953" spans="1:7">
      <c r="A953" s="241" t="s">
        <v>1198</v>
      </c>
      <c r="B953" s="242" t="s">
        <v>703</v>
      </c>
      <c r="C953" s="242" t="s">
        <v>1199</v>
      </c>
      <c r="D953" s="242"/>
      <c r="E953" s="453">
        <v>37981491.469999999</v>
      </c>
      <c r="F953" s="451">
        <v>37981491.469999999</v>
      </c>
      <c r="G953" s="459">
        <f t="shared" si="14"/>
        <v>100</v>
      </c>
    </row>
    <row r="954" spans="1:7">
      <c r="A954" s="241" t="s">
        <v>140</v>
      </c>
      <c r="B954" s="242" t="s">
        <v>703</v>
      </c>
      <c r="C954" s="242" t="s">
        <v>1199</v>
      </c>
      <c r="D954" s="242" t="s">
        <v>1142</v>
      </c>
      <c r="E954" s="453">
        <v>37981491.469999999</v>
      </c>
      <c r="F954" s="451">
        <v>37981491.469999999</v>
      </c>
      <c r="G954" s="459">
        <f t="shared" si="14"/>
        <v>100</v>
      </c>
    </row>
    <row r="955" spans="1:7">
      <c r="A955" s="241" t="s">
        <v>1077</v>
      </c>
      <c r="B955" s="242" t="s">
        <v>703</v>
      </c>
      <c r="C955" s="242" t="s">
        <v>1199</v>
      </c>
      <c r="D955" s="242" t="s">
        <v>1078</v>
      </c>
      <c r="E955" s="453">
        <v>37981491.469999999</v>
      </c>
      <c r="F955" s="451">
        <v>37981491.469999999</v>
      </c>
      <c r="G955" s="459">
        <f t="shared" si="14"/>
        <v>100</v>
      </c>
    </row>
    <row r="956" spans="1:7">
      <c r="A956" s="241" t="s">
        <v>1321</v>
      </c>
      <c r="B956" s="242" t="s">
        <v>703</v>
      </c>
      <c r="C956" s="242" t="s">
        <v>1322</v>
      </c>
      <c r="D956" s="242"/>
      <c r="E956" s="453">
        <v>13544.91</v>
      </c>
      <c r="F956" s="451">
        <v>4627.8599999999997</v>
      </c>
      <c r="G956" s="459">
        <f t="shared" si="14"/>
        <v>34.166782946509059</v>
      </c>
    </row>
    <row r="957" spans="1:7">
      <c r="A957" s="241" t="s">
        <v>1201</v>
      </c>
      <c r="B957" s="242" t="s">
        <v>703</v>
      </c>
      <c r="C957" s="242" t="s">
        <v>1202</v>
      </c>
      <c r="D957" s="242"/>
      <c r="E957" s="453">
        <v>13544.91</v>
      </c>
      <c r="F957" s="451">
        <v>4627.8599999999997</v>
      </c>
      <c r="G957" s="459">
        <f t="shared" si="14"/>
        <v>34.166782946509059</v>
      </c>
    </row>
    <row r="958" spans="1:7">
      <c r="A958" s="241" t="s">
        <v>249</v>
      </c>
      <c r="B958" s="242" t="s">
        <v>703</v>
      </c>
      <c r="C958" s="242" t="s">
        <v>1202</v>
      </c>
      <c r="D958" s="242" t="s">
        <v>1148</v>
      </c>
      <c r="E958" s="453">
        <v>13544.91</v>
      </c>
      <c r="F958" s="451">
        <v>4627.8599999999997</v>
      </c>
      <c r="G958" s="459">
        <f t="shared" si="14"/>
        <v>34.166782946509059</v>
      </c>
    </row>
    <row r="959" spans="1:7">
      <c r="A959" s="241" t="s">
        <v>0</v>
      </c>
      <c r="B959" s="242" t="s">
        <v>703</v>
      </c>
      <c r="C959" s="242" t="s">
        <v>1202</v>
      </c>
      <c r="D959" s="242" t="s">
        <v>402</v>
      </c>
      <c r="E959" s="453">
        <v>13544.91</v>
      </c>
      <c r="F959" s="451">
        <v>4627.8599999999997</v>
      </c>
      <c r="G959" s="459">
        <f t="shared" si="14"/>
        <v>34.166782946509059</v>
      </c>
    </row>
    <row r="960" spans="1:7" ht="127.5">
      <c r="A960" s="241" t="s">
        <v>510</v>
      </c>
      <c r="B960" s="242" t="s">
        <v>704</v>
      </c>
      <c r="C960" s="242"/>
      <c r="D960" s="242"/>
      <c r="E960" s="453">
        <v>69116060</v>
      </c>
      <c r="F960" s="451">
        <v>68877903.090000004</v>
      </c>
      <c r="G960" s="459">
        <f t="shared" si="14"/>
        <v>99.655424643707988</v>
      </c>
    </row>
    <row r="961" spans="1:7" ht="63.75">
      <c r="A961" s="241" t="s">
        <v>1318</v>
      </c>
      <c r="B961" s="242" t="s">
        <v>704</v>
      </c>
      <c r="C961" s="242" t="s">
        <v>273</v>
      </c>
      <c r="D961" s="242"/>
      <c r="E961" s="453">
        <v>57315000</v>
      </c>
      <c r="F961" s="451">
        <v>57076843.090000004</v>
      </c>
      <c r="G961" s="459">
        <f t="shared" si="14"/>
        <v>99.584477170025309</v>
      </c>
    </row>
    <row r="962" spans="1:7">
      <c r="A962" s="241" t="s">
        <v>1190</v>
      </c>
      <c r="B962" s="242" t="s">
        <v>704</v>
      </c>
      <c r="C962" s="242" t="s">
        <v>133</v>
      </c>
      <c r="D962" s="242"/>
      <c r="E962" s="453">
        <v>57315000</v>
      </c>
      <c r="F962" s="451">
        <v>57076843.090000004</v>
      </c>
      <c r="G962" s="459">
        <f t="shared" si="14"/>
        <v>99.584477170025309</v>
      </c>
    </row>
    <row r="963" spans="1:7">
      <c r="A963" s="241" t="s">
        <v>249</v>
      </c>
      <c r="B963" s="242" t="s">
        <v>704</v>
      </c>
      <c r="C963" s="242" t="s">
        <v>133</v>
      </c>
      <c r="D963" s="242" t="s">
        <v>1148</v>
      </c>
      <c r="E963" s="453">
        <v>57315000</v>
      </c>
      <c r="F963" s="451">
        <v>57076843.090000004</v>
      </c>
      <c r="G963" s="459">
        <f t="shared" si="14"/>
        <v>99.584477170025309</v>
      </c>
    </row>
    <row r="964" spans="1:7">
      <c r="A964" s="241" t="s">
        <v>0</v>
      </c>
      <c r="B964" s="242" t="s">
        <v>704</v>
      </c>
      <c r="C964" s="242" t="s">
        <v>133</v>
      </c>
      <c r="D964" s="242" t="s">
        <v>402</v>
      </c>
      <c r="E964" s="453">
        <v>57315000</v>
      </c>
      <c r="F964" s="451">
        <v>57076843.090000004</v>
      </c>
      <c r="G964" s="459">
        <f t="shared" si="14"/>
        <v>99.584477170025309</v>
      </c>
    </row>
    <row r="965" spans="1:7" ht="25.5">
      <c r="A965" s="241" t="s">
        <v>1327</v>
      </c>
      <c r="B965" s="242" t="s">
        <v>704</v>
      </c>
      <c r="C965" s="242" t="s">
        <v>1328</v>
      </c>
      <c r="D965" s="242"/>
      <c r="E965" s="453">
        <v>11801060</v>
      </c>
      <c r="F965" s="451">
        <v>11801060</v>
      </c>
      <c r="G965" s="459">
        <f t="shared" si="14"/>
        <v>100</v>
      </c>
    </row>
    <row r="966" spans="1:7">
      <c r="A966" s="241" t="s">
        <v>1198</v>
      </c>
      <c r="B966" s="242" t="s">
        <v>704</v>
      </c>
      <c r="C966" s="242" t="s">
        <v>1199</v>
      </c>
      <c r="D966" s="242"/>
      <c r="E966" s="453">
        <v>11801060</v>
      </c>
      <c r="F966" s="451">
        <v>11801060</v>
      </c>
      <c r="G966" s="459">
        <f t="shared" si="14"/>
        <v>100</v>
      </c>
    </row>
    <row r="967" spans="1:7">
      <c r="A967" s="241" t="s">
        <v>140</v>
      </c>
      <c r="B967" s="242" t="s">
        <v>704</v>
      </c>
      <c r="C967" s="242" t="s">
        <v>1199</v>
      </c>
      <c r="D967" s="242" t="s">
        <v>1142</v>
      </c>
      <c r="E967" s="453">
        <v>11801060</v>
      </c>
      <c r="F967" s="451">
        <v>11801060</v>
      </c>
      <c r="G967" s="459">
        <f t="shared" ref="G967:G1030" si="15">F967/E967*100</f>
        <v>100</v>
      </c>
    </row>
    <row r="968" spans="1:7">
      <c r="A968" s="241" t="s">
        <v>1077</v>
      </c>
      <c r="B968" s="242" t="s">
        <v>704</v>
      </c>
      <c r="C968" s="242" t="s">
        <v>1199</v>
      </c>
      <c r="D968" s="242" t="s">
        <v>1078</v>
      </c>
      <c r="E968" s="453">
        <v>11801060</v>
      </c>
      <c r="F968" s="451">
        <v>11801060</v>
      </c>
      <c r="G968" s="459">
        <f t="shared" si="15"/>
        <v>100</v>
      </c>
    </row>
    <row r="969" spans="1:7" ht="102">
      <c r="A969" s="241" t="s">
        <v>566</v>
      </c>
      <c r="B969" s="242" t="s">
        <v>705</v>
      </c>
      <c r="C969" s="242"/>
      <c r="D969" s="242"/>
      <c r="E969" s="453">
        <v>367390</v>
      </c>
      <c r="F969" s="451">
        <v>367390</v>
      </c>
      <c r="G969" s="459">
        <f t="shared" si="15"/>
        <v>100</v>
      </c>
    </row>
    <row r="970" spans="1:7" ht="25.5">
      <c r="A970" s="241" t="s">
        <v>1327</v>
      </c>
      <c r="B970" s="242" t="s">
        <v>705</v>
      </c>
      <c r="C970" s="242" t="s">
        <v>1328</v>
      </c>
      <c r="D970" s="242"/>
      <c r="E970" s="453">
        <v>367390</v>
      </c>
      <c r="F970" s="451">
        <v>367390</v>
      </c>
      <c r="G970" s="459">
        <f t="shared" si="15"/>
        <v>100</v>
      </c>
    </row>
    <row r="971" spans="1:7">
      <c r="A971" s="241" t="s">
        <v>1198</v>
      </c>
      <c r="B971" s="242" t="s">
        <v>705</v>
      </c>
      <c r="C971" s="242" t="s">
        <v>1199</v>
      </c>
      <c r="D971" s="242"/>
      <c r="E971" s="453">
        <v>367390</v>
      </c>
      <c r="F971" s="451">
        <v>367390</v>
      </c>
      <c r="G971" s="459">
        <f t="shared" si="15"/>
        <v>100</v>
      </c>
    </row>
    <row r="972" spans="1:7">
      <c r="A972" s="241" t="s">
        <v>140</v>
      </c>
      <c r="B972" s="242" t="s">
        <v>705</v>
      </c>
      <c r="C972" s="242" t="s">
        <v>1199</v>
      </c>
      <c r="D972" s="242" t="s">
        <v>1142</v>
      </c>
      <c r="E972" s="453">
        <v>367390</v>
      </c>
      <c r="F972" s="451">
        <v>367390</v>
      </c>
      <c r="G972" s="459">
        <f t="shared" si="15"/>
        <v>100</v>
      </c>
    </row>
    <row r="973" spans="1:7">
      <c r="A973" s="241" t="s">
        <v>1077</v>
      </c>
      <c r="B973" s="242" t="s">
        <v>705</v>
      </c>
      <c r="C973" s="242" t="s">
        <v>1199</v>
      </c>
      <c r="D973" s="242" t="s">
        <v>1078</v>
      </c>
      <c r="E973" s="453">
        <v>367390</v>
      </c>
      <c r="F973" s="451">
        <v>367390</v>
      </c>
      <c r="G973" s="459">
        <f t="shared" si="15"/>
        <v>100</v>
      </c>
    </row>
    <row r="974" spans="1:7" ht="89.25">
      <c r="A974" s="241" t="s">
        <v>511</v>
      </c>
      <c r="B974" s="242" t="s">
        <v>706</v>
      </c>
      <c r="C974" s="242"/>
      <c r="D974" s="242"/>
      <c r="E974" s="453">
        <v>882846.06</v>
      </c>
      <c r="F974" s="451">
        <v>882494.06</v>
      </c>
      <c r="G974" s="459">
        <f t="shared" si="15"/>
        <v>99.960128949321017</v>
      </c>
    </row>
    <row r="975" spans="1:7" ht="63.75">
      <c r="A975" s="241" t="s">
        <v>1318</v>
      </c>
      <c r="B975" s="242" t="s">
        <v>706</v>
      </c>
      <c r="C975" s="242" t="s">
        <v>273</v>
      </c>
      <c r="D975" s="242"/>
      <c r="E975" s="453">
        <v>410385.62</v>
      </c>
      <c r="F975" s="451">
        <v>410385.62</v>
      </c>
      <c r="G975" s="459">
        <f t="shared" si="15"/>
        <v>100</v>
      </c>
    </row>
    <row r="976" spans="1:7">
      <c r="A976" s="241" t="s">
        <v>1190</v>
      </c>
      <c r="B976" s="242" t="s">
        <v>706</v>
      </c>
      <c r="C976" s="242" t="s">
        <v>133</v>
      </c>
      <c r="D976" s="242"/>
      <c r="E976" s="453">
        <v>410385.62</v>
      </c>
      <c r="F976" s="451">
        <v>410385.62</v>
      </c>
      <c r="G976" s="459">
        <f t="shared" si="15"/>
        <v>100</v>
      </c>
    </row>
    <row r="977" spans="1:7">
      <c r="A977" s="241" t="s">
        <v>249</v>
      </c>
      <c r="B977" s="242" t="s">
        <v>706</v>
      </c>
      <c r="C977" s="242" t="s">
        <v>133</v>
      </c>
      <c r="D977" s="242" t="s">
        <v>1148</v>
      </c>
      <c r="E977" s="453">
        <v>410385.62</v>
      </c>
      <c r="F977" s="451">
        <v>410385.62</v>
      </c>
      <c r="G977" s="459">
        <f t="shared" si="15"/>
        <v>100</v>
      </c>
    </row>
    <row r="978" spans="1:7">
      <c r="A978" s="241" t="s">
        <v>0</v>
      </c>
      <c r="B978" s="242" t="s">
        <v>706</v>
      </c>
      <c r="C978" s="242" t="s">
        <v>133</v>
      </c>
      <c r="D978" s="242" t="s">
        <v>402</v>
      </c>
      <c r="E978" s="453">
        <v>410385.62</v>
      </c>
      <c r="F978" s="451">
        <v>410385.62</v>
      </c>
      <c r="G978" s="459">
        <f t="shared" si="15"/>
        <v>100</v>
      </c>
    </row>
    <row r="979" spans="1:7" ht="25.5">
      <c r="A979" s="241" t="s">
        <v>1327</v>
      </c>
      <c r="B979" s="242" t="s">
        <v>706</v>
      </c>
      <c r="C979" s="242" t="s">
        <v>1328</v>
      </c>
      <c r="D979" s="242"/>
      <c r="E979" s="453">
        <v>472460.44</v>
      </c>
      <c r="F979" s="451">
        <v>472108.44</v>
      </c>
      <c r="G979" s="459">
        <f t="shared" si="15"/>
        <v>99.925496407699228</v>
      </c>
    </row>
    <row r="980" spans="1:7">
      <c r="A980" s="241" t="s">
        <v>1198</v>
      </c>
      <c r="B980" s="242" t="s">
        <v>706</v>
      </c>
      <c r="C980" s="242" t="s">
        <v>1199</v>
      </c>
      <c r="D980" s="242"/>
      <c r="E980" s="453">
        <v>472460.44</v>
      </c>
      <c r="F980" s="451">
        <v>472108.44</v>
      </c>
      <c r="G980" s="459">
        <f t="shared" si="15"/>
        <v>99.925496407699228</v>
      </c>
    </row>
    <row r="981" spans="1:7">
      <c r="A981" s="241" t="s">
        <v>140</v>
      </c>
      <c r="B981" s="242" t="s">
        <v>706</v>
      </c>
      <c r="C981" s="242" t="s">
        <v>1199</v>
      </c>
      <c r="D981" s="242" t="s">
        <v>1142</v>
      </c>
      <c r="E981" s="453">
        <v>472460.44</v>
      </c>
      <c r="F981" s="451">
        <v>472108.44</v>
      </c>
      <c r="G981" s="459">
        <f t="shared" si="15"/>
        <v>99.925496407699228</v>
      </c>
    </row>
    <row r="982" spans="1:7">
      <c r="A982" s="241" t="s">
        <v>1077</v>
      </c>
      <c r="B982" s="242" t="s">
        <v>706</v>
      </c>
      <c r="C982" s="242" t="s">
        <v>1199</v>
      </c>
      <c r="D982" s="242" t="s">
        <v>1078</v>
      </c>
      <c r="E982" s="453">
        <v>472460.44</v>
      </c>
      <c r="F982" s="451">
        <v>472108.44</v>
      </c>
      <c r="G982" s="459">
        <f t="shared" si="15"/>
        <v>99.925496407699228</v>
      </c>
    </row>
    <row r="983" spans="1:7" ht="89.25">
      <c r="A983" s="241" t="s">
        <v>567</v>
      </c>
      <c r="B983" s="242" t="s">
        <v>707</v>
      </c>
      <c r="C983" s="242"/>
      <c r="D983" s="242"/>
      <c r="E983" s="453">
        <v>4277438.5199999996</v>
      </c>
      <c r="F983" s="451">
        <v>4110502.12</v>
      </c>
      <c r="G983" s="459">
        <f t="shared" si="15"/>
        <v>96.097281136375059</v>
      </c>
    </row>
    <row r="984" spans="1:7" ht="25.5">
      <c r="A984" s="241" t="s">
        <v>1319</v>
      </c>
      <c r="B984" s="242" t="s">
        <v>707</v>
      </c>
      <c r="C984" s="242" t="s">
        <v>1320</v>
      </c>
      <c r="D984" s="242"/>
      <c r="E984" s="453">
        <v>602438.52</v>
      </c>
      <c r="F984" s="451">
        <v>600880.85</v>
      </c>
      <c r="G984" s="459">
        <f t="shared" si="15"/>
        <v>99.741439176233285</v>
      </c>
    </row>
    <row r="985" spans="1:7" ht="25.5">
      <c r="A985" s="241" t="s">
        <v>1196</v>
      </c>
      <c r="B985" s="242" t="s">
        <v>707</v>
      </c>
      <c r="C985" s="242" t="s">
        <v>1197</v>
      </c>
      <c r="D985" s="242"/>
      <c r="E985" s="453">
        <v>602438.52</v>
      </c>
      <c r="F985" s="451">
        <v>600880.85</v>
      </c>
      <c r="G985" s="459">
        <f t="shared" si="15"/>
        <v>99.741439176233285</v>
      </c>
    </row>
    <row r="986" spans="1:7">
      <c r="A986" s="241" t="s">
        <v>249</v>
      </c>
      <c r="B986" s="242" t="s">
        <v>707</v>
      </c>
      <c r="C986" s="242" t="s">
        <v>1197</v>
      </c>
      <c r="D986" s="242" t="s">
        <v>1148</v>
      </c>
      <c r="E986" s="453">
        <v>602438.52</v>
      </c>
      <c r="F986" s="451">
        <v>600880.85</v>
      </c>
      <c r="G986" s="459">
        <f t="shared" si="15"/>
        <v>99.741439176233285</v>
      </c>
    </row>
    <row r="987" spans="1:7">
      <c r="A987" s="241" t="s">
        <v>0</v>
      </c>
      <c r="B987" s="242" t="s">
        <v>707</v>
      </c>
      <c r="C987" s="242" t="s">
        <v>1197</v>
      </c>
      <c r="D987" s="242" t="s">
        <v>402</v>
      </c>
      <c r="E987" s="453">
        <v>602438.52</v>
      </c>
      <c r="F987" s="451">
        <v>600880.85000000009</v>
      </c>
      <c r="G987" s="459">
        <f t="shared" si="15"/>
        <v>99.7414391762333</v>
      </c>
    </row>
    <row r="988" spans="1:7" ht="25.5">
      <c r="A988" s="241" t="s">
        <v>1327</v>
      </c>
      <c r="B988" s="242" t="s">
        <v>707</v>
      </c>
      <c r="C988" s="242" t="s">
        <v>1328</v>
      </c>
      <c r="D988" s="242"/>
      <c r="E988" s="453">
        <v>3675000</v>
      </c>
      <c r="F988" s="451">
        <v>3509621.27</v>
      </c>
      <c r="G988" s="459">
        <f t="shared" si="15"/>
        <v>95.499898503401354</v>
      </c>
    </row>
    <row r="989" spans="1:7">
      <c r="A989" s="241" t="s">
        <v>1198</v>
      </c>
      <c r="B989" s="242" t="s">
        <v>707</v>
      </c>
      <c r="C989" s="242" t="s">
        <v>1199</v>
      </c>
      <c r="D989" s="242"/>
      <c r="E989" s="453">
        <v>3675000</v>
      </c>
      <c r="F989" s="451">
        <v>3509621.27</v>
      </c>
      <c r="G989" s="459">
        <f t="shared" si="15"/>
        <v>95.499898503401354</v>
      </c>
    </row>
    <row r="990" spans="1:7">
      <c r="A990" s="241" t="s">
        <v>140</v>
      </c>
      <c r="B990" s="242" t="s">
        <v>707</v>
      </c>
      <c r="C990" s="242" t="s">
        <v>1199</v>
      </c>
      <c r="D990" s="242" t="s">
        <v>1142</v>
      </c>
      <c r="E990" s="453">
        <v>3675000</v>
      </c>
      <c r="F990" s="451">
        <v>3509621.27</v>
      </c>
      <c r="G990" s="459">
        <f t="shared" si="15"/>
        <v>95.499898503401354</v>
      </c>
    </row>
    <row r="991" spans="1:7">
      <c r="A991" s="241" t="s">
        <v>1077</v>
      </c>
      <c r="B991" s="242" t="s">
        <v>707</v>
      </c>
      <c r="C991" s="242" t="s">
        <v>1199</v>
      </c>
      <c r="D991" s="242" t="s">
        <v>1078</v>
      </c>
      <c r="E991" s="453">
        <v>3675000</v>
      </c>
      <c r="F991" s="451">
        <v>3509621.27</v>
      </c>
      <c r="G991" s="459">
        <f t="shared" si="15"/>
        <v>95.499898503401354</v>
      </c>
    </row>
    <row r="992" spans="1:7" ht="63.75">
      <c r="A992" s="241" t="s">
        <v>1627</v>
      </c>
      <c r="B992" s="242" t="s">
        <v>1628</v>
      </c>
      <c r="C992" s="242"/>
      <c r="D992" s="242"/>
      <c r="E992" s="453">
        <v>92759.33</v>
      </c>
      <c r="F992" s="451">
        <v>92759.33</v>
      </c>
      <c r="G992" s="459">
        <f t="shared" si="15"/>
        <v>100</v>
      </c>
    </row>
    <row r="993" spans="1:7" ht="25.5">
      <c r="A993" s="241" t="s">
        <v>1319</v>
      </c>
      <c r="B993" s="242" t="s">
        <v>1628</v>
      </c>
      <c r="C993" s="242" t="s">
        <v>1320</v>
      </c>
      <c r="D993" s="242"/>
      <c r="E993" s="453">
        <v>33759.33</v>
      </c>
      <c r="F993" s="451">
        <v>33759.33</v>
      </c>
      <c r="G993" s="459">
        <f t="shared" si="15"/>
        <v>100</v>
      </c>
    </row>
    <row r="994" spans="1:7" ht="25.5">
      <c r="A994" s="241" t="s">
        <v>1196</v>
      </c>
      <c r="B994" s="242" t="s">
        <v>1628</v>
      </c>
      <c r="C994" s="242" t="s">
        <v>1197</v>
      </c>
      <c r="D994" s="242"/>
      <c r="E994" s="453">
        <v>33759.33</v>
      </c>
      <c r="F994" s="451">
        <v>33759.33</v>
      </c>
      <c r="G994" s="459">
        <f t="shared" si="15"/>
        <v>100</v>
      </c>
    </row>
    <row r="995" spans="1:7">
      <c r="A995" s="241" t="s">
        <v>249</v>
      </c>
      <c r="B995" s="242" t="s">
        <v>1628</v>
      </c>
      <c r="C995" s="242" t="s">
        <v>1197</v>
      </c>
      <c r="D995" s="242" t="s">
        <v>1148</v>
      </c>
      <c r="E995" s="453">
        <v>33759.33</v>
      </c>
      <c r="F995" s="451">
        <v>33759.33</v>
      </c>
      <c r="G995" s="459">
        <f t="shared" si="15"/>
        <v>100</v>
      </c>
    </row>
    <row r="996" spans="1:7">
      <c r="A996" s="241" t="s">
        <v>0</v>
      </c>
      <c r="B996" s="242" t="s">
        <v>1628</v>
      </c>
      <c r="C996" s="242" t="s">
        <v>1197</v>
      </c>
      <c r="D996" s="242" t="s">
        <v>402</v>
      </c>
      <c r="E996" s="453">
        <v>33759.33</v>
      </c>
      <c r="F996" s="451">
        <v>33759.33</v>
      </c>
      <c r="G996" s="459">
        <f t="shared" si="15"/>
        <v>100</v>
      </c>
    </row>
    <row r="997" spans="1:7" ht="25.5">
      <c r="A997" s="241" t="s">
        <v>1327</v>
      </c>
      <c r="B997" s="242" t="s">
        <v>1628</v>
      </c>
      <c r="C997" s="242" t="s">
        <v>1328</v>
      </c>
      <c r="D997" s="242"/>
      <c r="E997" s="453">
        <v>59000</v>
      </c>
      <c r="F997" s="451">
        <v>59000</v>
      </c>
      <c r="G997" s="459">
        <f t="shared" si="15"/>
        <v>100</v>
      </c>
    </row>
    <row r="998" spans="1:7">
      <c r="A998" s="241" t="s">
        <v>1198</v>
      </c>
      <c r="B998" s="242" t="s">
        <v>1628</v>
      </c>
      <c r="C998" s="242" t="s">
        <v>1199</v>
      </c>
      <c r="D998" s="242"/>
      <c r="E998" s="453">
        <v>59000</v>
      </c>
      <c r="F998" s="451">
        <v>59000</v>
      </c>
      <c r="G998" s="459">
        <f t="shared" si="15"/>
        <v>100</v>
      </c>
    </row>
    <row r="999" spans="1:7">
      <c r="A999" s="241" t="s">
        <v>140</v>
      </c>
      <c r="B999" s="242" t="s">
        <v>1628</v>
      </c>
      <c r="C999" s="242" t="s">
        <v>1199</v>
      </c>
      <c r="D999" s="242" t="s">
        <v>1142</v>
      </c>
      <c r="E999" s="453">
        <v>59000</v>
      </c>
      <c r="F999" s="451">
        <v>59000</v>
      </c>
      <c r="G999" s="459">
        <f t="shared" si="15"/>
        <v>100</v>
      </c>
    </row>
    <row r="1000" spans="1:7">
      <c r="A1000" s="241" t="s">
        <v>1077</v>
      </c>
      <c r="B1000" s="242" t="s">
        <v>1628</v>
      </c>
      <c r="C1000" s="242" t="s">
        <v>1199</v>
      </c>
      <c r="D1000" s="242" t="s">
        <v>1078</v>
      </c>
      <c r="E1000" s="453">
        <v>59000</v>
      </c>
      <c r="F1000" s="451">
        <v>59000</v>
      </c>
      <c r="G1000" s="459">
        <f t="shared" si="15"/>
        <v>100</v>
      </c>
    </row>
    <row r="1001" spans="1:7" ht="63.75">
      <c r="A1001" s="241" t="s">
        <v>1777</v>
      </c>
      <c r="B1001" s="242" t="s">
        <v>1778</v>
      </c>
      <c r="C1001" s="242"/>
      <c r="D1001" s="242"/>
      <c r="E1001" s="453">
        <v>75035</v>
      </c>
      <c r="F1001" s="451">
        <v>75035</v>
      </c>
      <c r="G1001" s="459">
        <f t="shared" si="15"/>
        <v>100</v>
      </c>
    </row>
    <row r="1002" spans="1:7" ht="25.5">
      <c r="A1002" s="241" t="s">
        <v>1319</v>
      </c>
      <c r="B1002" s="242" t="s">
        <v>1778</v>
      </c>
      <c r="C1002" s="242" t="s">
        <v>1320</v>
      </c>
      <c r="D1002" s="242"/>
      <c r="E1002" s="453">
        <v>75035</v>
      </c>
      <c r="F1002" s="451">
        <v>75035</v>
      </c>
      <c r="G1002" s="459">
        <f t="shared" si="15"/>
        <v>100</v>
      </c>
    </row>
    <row r="1003" spans="1:7" ht="25.5">
      <c r="A1003" s="241" t="s">
        <v>1196</v>
      </c>
      <c r="B1003" s="242" t="s">
        <v>1778</v>
      </c>
      <c r="C1003" s="242" t="s">
        <v>1197</v>
      </c>
      <c r="D1003" s="242"/>
      <c r="E1003" s="453">
        <v>75035</v>
      </c>
      <c r="F1003" s="451">
        <v>75035</v>
      </c>
      <c r="G1003" s="459">
        <f t="shared" si="15"/>
        <v>100</v>
      </c>
    </row>
    <row r="1004" spans="1:7">
      <c r="A1004" s="241" t="s">
        <v>249</v>
      </c>
      <c r="B1004" s="242" t="s">
        <v>1778</v>
      </c>
      <c r="C1004" s="242" t="s">
        <v>1197</v>
      </c>
      <c r="D1004" s="242" t="s">
        <v>1148</v>
      </c>
      <c r="E1004" s="453">
        <v>75035</v>
      </c>
      <c r="F1004" s="451">
        <v>75035</v>
      </c>
      <c r="G1004" s="459">
        <f t="shared" si="15"/>
        <v>100</v>
      </c>
    </row>
    <row r="1005" spans="1:7">
      <c r="A1005" s="241" t="s">
        <v>0</v>
      </c>
      <c r="B1005" s="242" t="s">
        <v>1778</v>
      </c>
      <c r="C1005" s="242" t="s">
        <v>1197</v>
      </c>
      <c r="D1005" s="242" t="s">
        <v>402</v>
      </c>
      <c r="E1005" s="453">
        <v>75035</v>
      </c>
      <c r="F1005" s="451">
        <v>75035</v>
      </c>
      <c r="G1005" s="459">
        <f t="shared" si="15"/>
        <v>100</v>
      </c>
    </row>
    <row r="1006" spans="1:7" ht="89.25">
      <c r="A1006" s="241" t="s">
        <v>956</v>
      </c>
      <c r="B1006" s="242" t="s">
        <v>957</v>
      </c>
      <c r="C1006" s="242"/>
      <c r="D1006" s="242"/>
      <c r="E1006" s="453">
        <v>581000</v>
      </c>
      <c r="F1006" s="451">
        <v>450091.48</v>
      </c>
      <c r="G1006" s="459">
        <f t="shared" si="15"/>
        <v>77.468413080895004</v>
      </c>
    </row>
    <row r="1007" spans="1:7" ht="25.5">
      <c r="A1007" s="241" t="s">
        <v>1319</v>
      </c>
      <c r="B1007" s="242" t="s">
        <v>957</v>
      </c>
      <c r="C1007" s="242" t="s">
        <v>1320</v>
      </c>
      <c r="D1007" s="242"/>
      <c r="E1007" s="453">
        <v>200000</v>
      </c>
      <c r="F1007" s="451">
        <v>182354.48</v>
      </c>
      <c r="G1007" s="459">
        <f t="shared" si="15"/>
        <v>91.177239999999998</v>
      </c>
    </row>
    <row r="1008" spans="1:7" ht="25.5">
      <c r="A1008" s="241" t="s">
        <v>1196</v>
      </c>
      <c r="B1008" s="242" t="s">
        <v>957</v>
      </c>
      <c r="C1008" s="242" t="s">
        <v>1197</v>
      </c>
      <c r="D1008" s="242"/>
      <c r="E1008" s="453">
        <v>200000</v>
      </c>
      <c r="F1008" s="451">
        <v>182354.48</v>
      </c>
      <c r="G1008" s="459">
        <f t="shared" si="15"/>
        <v>91.177239999999998</v>
      </c>
    </row>
    <row r="1009" spans="1:7">
      <c r="A1009" s="241" t="s">
        <v>249</v>
      </c>
      <c r="B1009" s="242" t="s">
        <v>957</v>
      </c>
      <c r="C1009" s="242" t="s">
        <v>1197</v>
      </c>
      <c r="D1009" s="242" t="s">
        <v>1148</v>
      </c>
      <c r="E1009" s="453">
        <v>200000</v>
      </c>
      <c r="F1009" s="451">
        <v>182354.48</v>
      </c>
      <c r="G1009" s="459">
        <f t="shared" si="15"/>
        <v>91.177239999999998</v>
      </c>
    </row>
    <row r="1010" spans="1:7">
      <c r="A1010" s="241" t="s">
        <v>0</v>
      </c>
      <c r="B1010" s="242" t="s">
        <v>957</v>
      </c>
      <c r="C1010" s="242" t="s">
        <v>1197</v>
      </c>
      <c r="D1010" s="242" t="s">
        <v>402</v>
      </c>
      <c r="E1010" s="453">
        <v>200000</v>
      </c>
      <c r="F1010" s="451">
        <v>182354.48</v>
      </c>
      <c r="G1010" s="459">
        <f t="shared" si="15"/>
        <v>91.177239999999998</v>
      </c>
    </row>
    <row r="1011" spans="1:7" ht="25.5">
      <c r="A1011" s="241" t="s">
        <v>1327</v>
      </c>
      <c r="B1011" s="242" t="s">
        <v>957</v>
      </c>
      <c r="C1011" s="242" t="s">
        <v>1328</v>
      </c>
      <c r="D1011" s="242"/>
      <c r="E1011" s="453">
        <v>381000</v>
      </c>
      <c r="F1011" s="451">
        <v>267737</v>
      </c>
      <c r="G1011" s="459">
        <f t="shared" si="15"/>
        <v>70.272178477690289</v>
      </c>
    </row>
    <row r="1012" spans="1:7">
      <c r="A1012" s="241" t="s">
        <v>1198</v>
      </c>
      <c r="B1012" s="242" t="s">
        <v>957</v>
      </c>
      <c r="C1012" s="242" t="s">
        <v>1199</v>
      </c>
      <c r="D1012" s="242"/>
      <c r="E1012" s="453">
        <v>381000</v>
      </c>
      <c r="F1012" s="451">
        <v>267737</v>
      </c>
      <c r="G1012" s="459">
        <f t="shared" si="15"/>
        <v>70.272178477690289</v>
      </c>
    </row>
    <row r="1013" spans="1:7">
      <c r="A1013" s="241" t="s">
        <v>140</v>
      </c>
      <c r="B1013" s="242" t="s">
        <v>957</v>
      </c>
      <c r="C1013" s="242" t="s">
        <v>1199</v>
      </c>
      <c r="D1013" s="242" t="s">
        <v>1142</v>
      </c>
      <c r="E1013" s="453">
        <v>381000</v>
      </c>
      <c r="F1013" s="451">
        <v>267737</v>
      </c>
      <c r="G1013" s="459">
        <f t="shared" si="15"/>
        <v>70.272178477690289</v>
      </c>
    </row>
    <row r="1014" spans="1:7">
      <c r="A1014" s="241" t="s">
        <v>1077</v>
      </c>
      <c r="B1014" s="242" t="s">
        <v>957</v>
      </c>
      <c r="C1014" s="242" t="s">
        <v>1199</v>
      </c>
      <c r="D1014" s="242" t="s">
        <v>1078</v>
      </c>
      <c r="E1014" s="453">
        <v>381000</v>
      </c>
      <c r="F1014" s="451">
        <v>267737</v>
      </c>
      <c r="G1014" s="459">
        <f t="shared" si="15"/>
        <v>70.272178477690289</v>
      </c>
    </row>
    <row r="1015" spans="1:7" ht="51">
      <c r="A1015" s="241" t="s">
        <v>2227</v>
      </c>
      <c r="B1015" s="242" t="s">
        <v>2072</v>
      </c>
      <c r="C1015" s="242"/>
      <c r="D1015" s="242"/>
      <c r="E1015" s="453">
        <v>770000</v>
      </c>
      <c r="F1015" s="451">
        <v>770000</v>
      </c>
      <c r="G1015" s="459">
        <f t="shared" si="15"/>
        <v>100</v>
      </c>
    </row>
    <row r="1016" spans="1:7" ht="25.5">
      <c r="A1016" s="241" t="s">
        <v>1327</v>
      </c>
      <c r="B1016" s="242" t="s">
        <v>2072</v>
      </c>
      <c r="C1016" s="242" t="s">
        <v>1328</v>
      </c>
      <c r="D1016" s="242"/>
      <c r="E1016" s="453">
        <v>770000</v>
      </c>
      <c r="F1016" s="451">
        <v>770000</v>
      </c>
      <c r="G1016" s="459">
        <f t="shared" si="15"/>
        <v>100</v>
      </c>
    </row>
    <row r="1017" spans="1:7">
      <c r="A1017" s="241" t="s">
        <v>1198</v>
      </c>
      <c r="B1017" s="242" t="s">
        <v>2072</v>
      </c>
      <c r="C1017" s="242" t="s">
        <v>1199</v>
      </c>
      <c r="D1017" s="242"/>
      <c r="E1017" s="453">
        <v>770000</v>
      </c>
      <c r="F1017" s="451">
        <v>770000</v>
      </c>
      <c r="G1017" s="459">
        <f t="shared" si="15"/>
        <v>100</v>
      </c>
    </row>
    <row r="1018" spans="1:7">
      <c r="A1018" s="241" t="s">
        <v>249</v>
      </c>
      <c r="B1018" s="242" t="s">
        <v>2072</v>
      </c>
      <c r="C1018" s="242" t="s">
        <v>1199</v>
      </c>
      <c r="D1018" s="242" t="s">
        <v>1148</v>
      </c>
      <c r="E1018" s="453">
        <v>770000</v>
      </c>
      <c r="F1018" s="451">
        <v>770000</v>
      </c>
      <c r="G1018" s="459">
        <f t="shared" si="15"/>
        <v>100</v>
      </c>
    </row>
    <row r="1019" spans="1:7">
      <c r="A1019" s="241" t="s">
        <v>209</v>
      </c>
      <c r="B1019" s="242" t="s">
        <v>2072</v>
      </c>
      <c r="C1019" s="242" t="s">
        <v>1199</v>
      </c>
      <c r="D1019" s="242" t="s">
        <v>392</v>
      </c>
      <c r="E1019" s="453">
        <v>770000</v>
      </c>
      <c r="F1019" s="451">
        <v>770000</v>
      </c>
      <c r="G1019" s="459">
        <f t="shared" si="15"/>
        <v>100</v>
      </c>
    </row>
    <row r="1020" spans="1:7" ht="51">
      <c r="A1020" s="241" t="s">
        <v>2203</v>
      </c>
      <c r="B1020" s="242" t="s">
        <v>2204</v>
      </c>
      <c r="C1020" s="242"/>
      <c r="D1020" s="242"/>
      <c r="E1020" s="453">
        <v>1835613.36</v>
      </c>
      <c r="F1020" s="451">
        <v>1835613.36</v>
      </c>
      <c r="G1020" s="459">
        <f t="shared" si="15"/>
        <v>100</v>
      </c>
    </row>
    <row r="1021" spans="1:7" ht="25.5">
      <c r="A1021" s="241" t="s">
        <v>1319</v>
      </c>
      <c r="B1021" s="242" t="s">
        <v>2204</v>
      </c>
      <c r="C1021" s="242" t="s">
        <v>1320</v>
      </c>
      <c r="D1021" s="242"/>
      <c r="E1021" s="453">
        <v>1835613.36</v>
      </c>
      <c r="F1021" s="451">
        <v>1835613.36</v>
      </c>
      <c r="G1021" s="459">
        <f t="shared" si="15"/>
        <v>100</v>
      </c>
    </row>
    <row r="1022" spans="1:7" ht="25.5">
      <c r="A1022" s="241" t="s">
        <v>1196</v>
      </c>
      <c r="B1022" s="242" t="s">
        <v>2204</v>
      </c>
      <c r="C1022" s="242" t="s">
        <v>1197</v>
      </c>
      <c r="D1022" s="242"/>
      <c r="E1022" s="453">
        <v>1835613.36</v>
      </c>
      <c r="F1022" s="451">
        <v>1835613.36</v>
      </c>
      <c r="G1022" s="459">
        <f t="shared" si="15"/>
        <v>100</v>
      </c>
    </row>
    <row r="1023" spans="1:7">
      <c r="A1023" s="241" t="s">
        <v>249</v>
      </c>
      <c r="B1023" s="242" t="s">
        <v>2204</v>
      </c>
      <c r="C1023" s="242" t="s">
        <v>1197</v>
      </c>
      <c r="D1023" s="242" t="s">
        <v>1148</v>
      </c>
      <c r="E1023" s="453">
        <v>1835613.36</v>
      </c>
      <c r="F1023" s="451">
        <v>1835613.36</v>
      </c>
      <c r="G1023" s="459">
        <f t="shared" si="15"/>
        <v>100</v>
      </c>
    </row>
    <row r="1024" spans="1:7">
      <c r="A1024" s="241" t="s">
        <v>209</v>
      </c>
      <c r="B1024" s="242" t="s">
        <v>2204</v>
      </c>
      <c r="C1024" s="242" t="s">
        <v>1197</v>
      </c>
      <c r="D1024" s="242" t="s">
        <v>392</v>
      </c>
      <c r="E1024" s="453">
        <v>1835613.36</v>
      </c>
      <c r="F1024" s="451">
        <v>1835613.36</v>
      </c>
      <c r="G1024" s="459">
        <f t="shared" si="15"/>
        <v>100</v>
      </c>
    </row>
    <row r="1025" spans="1:7" ht="76.5">
      <c r="A1025" s="241" t="s">
        <v>2073</v>
      </c>
      <c r="B1025" s="242" t="s">
        <v>1503</v>
      </c>
      <c r="C1025" s="242"/>
      <c r="D1025" s="242"/>
      <c r="E1025" s="453">
        <v>1631317</v>
      </c>
      <c r="F1025" s="451">
        <v>1631317</v>
      </c>
      <c r="G1025" s="459">
        <f t="shared" si="15"/>
        <v>100</v>
      </c>
    </row>
    <row r="1026" spans="1:7" ht="25.5">
      <c r="A1026" s="241" t="s">
        <v>1327</v>
      </c>
      <c r="B1026" s="242" t="s">
        <v>1503</v>
      </c>
      <c r="C1026" s="242" t="s">
        <v>1328</v>
      </c>
      <c r="D1026" s="242"/>
      <c r="E1026" s="453">
        <v>1631317</v>
      </c>
      <c r="F1026" s="451">
        <v>1631317</v>
      </c>
      <c r="G1026" s="459">
        <f t="shared" si="15"/>
        <v>100</v>
      </c>
    </row>
    <row r="1027" spans="1:7">
      <c r="A1027" s="241" t="s">
        <v>1198</v>
      </c>
      <c r="B1027" s="242" t="s">
        <v>1503</v>
      </c>
      <c r="C1027" s="242" t="s">
        <v>1199</v>
      </c>
      <c r="D1027" s="242"/>
      <c r="E1027" s="453">
        <v>1631317</v>
      </c>
      <c r="F1027" s="451">
        <v>1631317</v>
      </c>
      <c r="G1027" s="459">
        <f t="shared" si="15"/>
        <v>100</v>
      </c>
    </row>
    <row r="1028" spans="1:7">
      <c r="A1028" s="241" t="s">
        <v>249</v>
      </c>
      <c r="B1028" s="242" t="s">
        <v>1503</v>
      </c>
      <c r="C1028" s="242" t="s">
        <v>1199</v>
      </c>
      <c r="D1028" s="242" t="s">
        <v>1148</v>
      </c>
      <c r="E1028" s="453">
        <v>1631317</v>
      </c>
      <c r="F1028" s="451">
        <v>1631317</v>
      </c>
      <c r="G1028" s="459">
        <f t="shared" si="15"/>
        <v>100</v>
      </c>
    </row>
    <row r="1029" spans="1:7">
      <c r="A1029" s="241" t="s">
        <v>209</v>
      </c>
      <c r="B1029" s="242" t="s">
        <v>1503</v>
      </c>
      <c r="C1029" s="242" t="s">
        <v>1199</v>
      </c>
      <c r="D1029" s="242" t="s">
        <v>392</v>
      </c>
      <c r="E1029" s="453">
        <v>1631317</v>
      </c>
      <c r="F1029" s="451">
        <v>1631317</v>
      </c>
      <c r="G1029" s="459">
        <f t="shared" si="15"/>
        <v>100</v>
      </c>
    </row>
    <row r="1030" spans="1:7" ht="63.75">
      <c r="A1030" s="241" t="s">
        <v>512</v>
      </c>
      <c r="B1030" s="242" t="s">
        <v>731</v>
      </c>
      <c r="C1030" s="242"/>
      <c r="D1030" s="242"/>
      <c r="E1030" s="453">
        <v>85225</v>
      </c>
      <c r="F1030" s="451">
        <v>84916</v>
      </c>
      <c r="G1030" s="459">
        <f t="shared" si="15"/>
        <v>99.637430331475514</v>
      </c>
    </row>
    <row r="1031" spans="1:7" ht="25.5">
      <c r="A1031" s="241" t="s">
        <v>1327</v>
      </c>
      <c r="B1031" s="242" t="s">
        <v>731</v>
      </c>
      <c r="C1031" s="242" t="s">
        <v>1328</v>
      </c>
      <c r="D1031" s="242"/>
      <c r="E1031" s="453">
        <v>85225</v>
      </c>
      <c r="F1031" s="451">
        <v>84916</v>
      </c>
      <c r="G1031" s="459">
        <f t="shared" ref="G1031:G1094" si="16">F1031/E1031*100</f>
        <v>99.637430331475514</v>
      </c>
    </row>
    <row r="1032" spans="1:7">
      <c r="A1032" s="241" t="s">
        <v>1198</v>
      </c>
      <c r="B1032" s="242" t="s">
        <v>731</v>
      </c>
      <c r="C1032" s="242" t="s">
        <v>1199</v>
      </c>
      <c r="D1032" s="242"/>
      <c r="E1032" s="453">
        <v>85225</v>
      </c>
      <c r="F1032" s="451">
        <v>84916</v>
      </c>
      <c r="G1032" s="459">
        <f t="shared" si="16"/>
        <v>99.637430331475514</v>
      </c>
    </row>
    <row r="1033" spans="1:7">
      <c r="A1033" s="241" t="s">
        <v>140</v>
      </c>
      <c r="B1033" s="242" t="s">
        <v>731</v>
      </c>
      <c r="C1033" s="242" t="s">
        <v>1199</v>
      </c>
      <c r="D1033" s="242" t="s">
        <v>1142</v>
      </c>
      <c r="E1033" s="453">
        <v>85225</v>
      </c>
      <c r="F1033" s="451">
        <v>84916</v>
      </c>
      <c r="G1033" s="459">
        <f t="shared" si="16"/>
        <v>99.637430331475514</v>
      </c>
    </row>
    <row r="1034" spans="1:7">
      <c r="A1034" s="241" t="s">
        <v>1077</v>
      </c>
      <c r="B1034" s="242" t="s">
        <v>731</v>
      </c>
      <c r="C1034" s="242" t="s">
        <v>1199</v>
      </c>
      <c r="D1034" s="242" t="s">
        <v>1078</v>
      </c>
      <c r="E1034" s="453">
        <v>85225</v>
      </c>
      <c r="F1034" s="451">
        <v>84916</v>
      </c>
      <c r="G1034" s="459">
        <f t="shared" si="16"/>
        <v>99.637430331475514</v>
      </c>
    </row>
    <row r="1035" spans="1:7" ht="89.25">
      <c r="A1035" s="241" t="s">
        <v>525</v>
      </c>
      <c r="B1035" s="242" t="s">
        <v>732</v>
      </c>
      <c r="C1035" s="242"/>
      <c r="D1035" s="242"/>
      <c r="E1035" s="453">
        <v>150000</v>
      </c>
      <c r="F1035" s="451">
        <v>150000</v>
      </c>
      <c r="G1035" s="459">
        <f t="shared" si="16"/>
        <v>100</v>
      </c>
    </row>
    <row r="1036" spans="1:7" ht="25.5">
      <c r="A1036" s="241" t="s">
        <v>1327</v>
      </c>
      <c r="B1036" s="242" t="s">
        <v>732</v>
      </c>
      <c r="C1036" s="242" t="s">
        <v>1328</v>
      </c>
      <c r="D1036" s="242"/>
      <c r="E1036" s="453">
        <v>150000</v>
      </c>
      <c r="F1036" s="451">
        <v>150000</v>
      </c>
      <c r="G1036" s="459">
        <f t="shared" si="16"/>
        <v>100</v>
      </c>
    </row>
    <row r="1037" spans="1:7">
      <c r="A1037" s="241" t="s">
        <v>1198</v>
      </c>
      <c r="B1037" s="242" t="s">
        <v>732</v>
      </c>
      <c r="C1037" s="242" t="s">
        <v>1199</v>
      </c>
      <c r="D1037" s="242"/>
      <c r="E1037" s="453">
        <v>150000</v>
      </c>
      <c r="F1037" s="451">
        <v>150000</v>
      </c>
      <c r="G1037" s="459">
        <f t="shared" si="16"/>
        <v>100</v>
      </c>
    </row>
    <row r="1038" spans="1:7">
      <c r="A1038" s="241" t="s">
        <v>140</v>
      </c>
      <c r="B1038" s="242" t="s">
        <v>732</v>
      </c>
      <c r="C1038" s="242" t="s">
        <v>1199</v>
      </c>
      <c r="D1038" s="242" t="s">
        <v>1142</v>
      </c>
      <c r="E1038" s="453">
        <v>150000</v>
      </c>
      <c r="F1038" s="451">
        <v>150000</v>
      </c>
      <c r="G1038" s="459">
        <f t="shared" si="16"/>
        <v>100</v>
      </c>
    </row>
    <row r="1039" spans="1:7">
      <c r="A1039" s="241" t="s">
        <v>1077</v>
      </c>
      <c r="B1039" s="242" t="s">
        <v>732</v>
      </c>
      <c r="C1039" s="242" t="s">
        <v>1199</v>
      </c>
      <c r="D1039" s="242" t="s">
        <v>1078</v>
      </c>
      <c r="E1039" s="453">
        <v>150000</v>
      </c>
      <c r="F1039" s="451">
        <v>150000</v>
      </c>
      <c r="G1039" s="459">
        <f t="shared" si="16"/>
        <v>100</v>
      </c>
    </row>
    <row r="1040" spans="1:7" ht="63.75">
      <c r="A1040" s="241" t="s">
        <v>1635</v>
      </c>
      <c r="B1040" s="242" t="s">
        <v>1636</v>
      </c>
      <c r="C1040" s="242"/>
      <c r="D1040" s="242"/>
      <c r="E1040" s="453">
        <v>20273540</v>
      </c>
      <c r="F1040" s="451">
        <v>20236840</v>
      </c>
      <c r="G1040" s="459">
        <f t="shared" si="16"/>
        <v>99.818975867066143</v>
      </c>
    </row>
    <row r="1041" spans="1:7" ht="25.5">
      <c r="A1041" s="241" t="s">
        <v>1319</v>
      </c>
      <c r="B1041" s="242" t="s">
        <v>1636</v>
      </c>
      <c r="C1041" s="242" t="s">
        <v>1320</v>
      </c>
      <c r="D1041" s="242"/>
      <c r="E1041" s="453">
        <v>20236840</v>
      </c>
      <c r="F1041" s="451">
        <v>20236840</v>
      </c>
      <c r="G1041" s="459">
        <f t="shared" si="16"/>
        <v>100</v>
      </c>
    </row>
    <row r="1042" spans="1:7" ht="25.5">
      <c r="A1042" s="241" t="s">
        <v>1196</v>
      </c>
      <c r="B1042" s="242" t="s">
        <v>1636</v>
      </c>
      <c r="C1042" s="242" t="s">
        <v>1197</v>
      </c>
      <c r="D1042" s="242"/>
      <c r="E1042" s="453">
        <v>20236840</v>
      </c>
      <c r="F1042" s="451">
        <v>20236840</v>
      </c>
      <c r="G1042" s="459">
        <f t="shared" si="16"/>
        <v>100</v>
      </c>
    </row>
    <row r="1043" spans="1:7">
      <c r="A1043" s="241" t="s">
        <v>249</v>
      </c>
      <c r="B1043" s="242" t="s">
        <v>1636</v>
      </c>
      <c r="C1043" s="242" t="s">
        <v>1197</v>
      </c>
      <c r="D1043" s="242" t="s">
        <v>1148</v>
      </c>
      <c r="E1043" s="453">
        <v>20236840</v>
      </c>
      <c r="F1043" s="451">
        <v>20236840</v>
      </c>
      <c r="G1043" s="459">
        <f t="shared" si="16"/>
        <v>100</v>
      </c>
    </row>
    <row r="1044" spans="1:7">
      <c r="A1044" s="241" t="s">
        <v>209</v>
      </c>
      <c r="B1044" s="242" t="s">
        <v>1636</v>
      </c>
      <c r="C1044" s="242" t="s">
        <v>1197</v>
      </c>
      <c r="D1044" s="242" t="s">
        <v>392</v>
      </c>
      <c r="E1044" s="453">
        <v>20236840</v>
      </c>
      <c r="F1044" s="451">
        <v>20236840</v>
      </c>
      <c r="G1044" s="459">
        <f t="shared" si="16"/>
        <v>100</v>
      </c>
    </row>
    <row r="1045" spans="1:7" ht="25.5">
      <c r="A1045" s="241" t="s">
        <v>1325</v>
      </c>
      <c r="B1045" s="242" t="s">
        <v>1636</v>
      </c>
      <c r="C1045" s="242" t="s">
        <v>1326</v>
      </c>
      <c r="D1045" s="242"/>
      <c r="E1045" s="453">
        <v>36700</v>
      </c>
      <c r="F1045" s="451">
        <v>0</v>
      </c>
      <c r="G1045" s="459">
        <f t="shared" si="16"/>
        <v>0</v>
      </c>
    </row>
    <row r="1046" spans="1:7">
      <c r="A1046" s="241" t="s">
        <v>1207</v>
      </c>
      <c r="B1046" s="242" t="s">
        <v>1636</v>
      </c>
      <c r="C1046" s="242" t="s">
        <v>75</v>
      </c>
      <c r="D1046" s="242"/>
      <c r="E1046" s="453">
        <v>36700</v>
      </c>
      <c r="F1046" s="451">
        <v>0</v>
      </c>
      <c r="G1046" s="459">
        <f t="shared" si="16"/>
        <v>0</v>
      </c>
    </row>
    <row r="1047" spans="1:7">
      <c r="A1047" s="241" t="s">
        <v>249</v>
      </c>
      <c r="B1047" s="242" t="s">
        <v>1636</v>
      </c>
      <c r="C1047" s="242" t="s">
        <v>75</v>
      </c>
      <c r="D1047" s="242" t="s">
        <v>1148</v>
      </c>
      <c r="E1047" s="453">
        <v>36700</v>
      </c>
      <c r="F1047" s="451">
        <v>0</v>
      </c>
      <c r="G1047" s="459">
        <f t="shared" si="16"/>
        <v>0</v>
      </c>
    </row>
    <row r="1048" spans="1:7">
      <c r="A1048" s="241" t="s">
        <v>209</v>
      </c>
      <c r="B1048" s="242" t="s">
        <v>1636</v>
      </c>
      <c r="C1048" s="242" t="s">
        <v>75</v>
      </c>
      <c r="D1048" s="242" t="s">
        <v>392</v>
      </c>
      <c r="E1048" s="453">
        <v>36700</v>
      </c>
      <c r="F1048" s="451">
        <v>0</v>
      </c>
      <c r="G1048" s="459">
        <f t="shared" si="16"/>
        <v>0</v>
      </c>
    </row>
    <row r="1049" spans="1:7" ht="76.5">
      <c r="A1049" s="241" t="s">
        <v>2074</v>
      </c>
      <c r="B1049" s="242" t="s">
        <v>2075</v>
      </c>
      <c r="C1049" s="242"/>
      <c r="D1049" s="242"/>
      <c r="E1049" s="453">
        <v>50000</v>
      </c>
      <c r="F1049" s="451">
        <v>50000</v>
      </c>
      <c r="G1049" s="459">
        <f t="shared" si="16"/>
        <v>100</v>
      </c>
    </row>
    <row r="1050" spans="1:7" ht="25.5">
      <c r="A1050" s="241" t="s">
        <v>1327</v>
      </c>
      <c r="B1050" s="242" t="s">
        <v>2075</v>
      </c>
      <c r="C1050" s="242" t="s">
        <v>1328</v>
      </c>
      <c r="D1050" s="242"/>
      <c r="E1050" s="453">
        <v>50000</v>
      </c>
      <c r="F1050" s="451">
        <v>50000</v>
      </c>
      <c r="G1050" s="459">
        <f t="shared" si="16"/>
        <v>100</v>
      </c>
    </row>
    <row r="1051" spans="1:7">
      <c r="A1051" s="241" t="s">
        <v>1198</v>
      </c>
      <c r="B1051" s="242" t="s">
        <v>2075</v>
      </c>
      <c r="C1051" s="242" t="s">
        <v>1199</v>
      </c>
      <c r="D1051" s="242"/>
      <c r="E1051" s="453">
        <v>50000</v>
      </c>
      <c r="F1051" s="451">
        <v>50000</v>
      </c>
      <c r="G1051" s="459">
        <f t="shared" si="16"/>
        <v>100</v>
      </c>
    </row>
    <row r="1052" spans="1:7">
      <c r="A1052" s="241" t="s">
        <v>249</v>
      </c>
      <c r="B1052" s="242" t="s">
        <v>2075</v>
      </c>
      <c r="C1052" s="242" t="s">
        <v>1199</v>
      </c>
      <c r="D1052" s="242" t="s">
        <v>1148</v>
      </c>
      <c r="E1052" s="453">
        <v>50000</v>
      </c>
      <c r="F1052" s="451">
        <v>50000</v>
      </c>
      <c r="G1052" s="459">
        <f t="shared" si="16"/>
        <v>100</v>
      </c>
    </row>
    <row r="1053" spans="1:7">
      <c r="A1053" s="241" t="s">
        <v>209</v>
      </c>
      <c r="B1053" s="242" t="s">
        <v>2075</v>
      </c>
      <c r="C1053" s="242" t="s">
        <v>1199</v>
      </c>
      <c r="D1053" s="242" t="s">
        <v>392</v>
      </c>
      <c r="E1053" s="453">
        <v>50000</v>
      </c>
      <c r="F1053" s="451">
        <v>50000</v>
      </c>
      <c r="G1053" s="459">
        <f t="shared" si="16"/>
        <v>100</v>
      </c>
    </row>
    <row r="1054" spans="1:7" ht="63.75">
      <c r="A1054" s="241" t="s">
        <v>2076</v>
      </c>
      <c r="B1054" s="242" t="s">
        <v>2077</v>
      </c>
      <c r="C1054" s="242"/>
      <c r="D1054" s="242"/>
      <c r="E1054" s="453">
        <v>100000</v>
      </c>
      <c r="F1054" s="451">
        <v>100000</v>
      </c>
      <c r="G1054" s="459">
        <f t="shared" si="16"/>
        <v>100</v>
      </c>
    </row>
    <row r="1055" spans="1:7" ht="25.5">
      <c r="A1055" s="241" t="s">
        <v>1327</v>
      </c>
      <c r="B1055" s="242" t="s">
        <v>2077</v>
      </c>
      <c r="C1055" s="242" t="s">
        <v>1328</v>
      </c>
      <c r="D1055" s="242"/>
      <c r="E1055" s="453">
        <v>100000</v>
      </c>
      <c r="F1055" s="451">
        <v>100000</v>
      </c>
      <c r="G1055" s="459">
        <f t="shared" si="16"/>
        <v>100</v>
      </c>
    </row>
    <row r="1056" spans="1:7">
      <c r="A1056" s="241" t="s">
        <v>1198</v>
      </c>
      <c r="B1056" s="242" t="s">
        <v>2077</v>
      </c>
      <c r="C1056" s="242" t="s">
        <v>1199</v>
      </c>
      <c r="D1056" s="242"/>
      <c r="E1056" s="453">
        <v>100000</v>
      </c>
      <c r="F1056" s="451">
        <v>100000</v>
      </c>
      <c r="G1056" s="459">
        <f t="shared" si="16"/>
        <v>100</v>
      </c>
    </row>
    <row r="1057" spans="1:7">
      <c r="A1057" s="241" t="s">
        <v>249</v>
      </c>
      <c r="B1057" s="242" t="s">
        <v>2077</v>
      </c>
      <c r="C1057" s="242" t="s">
        <v>1199</v>
      </c>
      <c r="D1057" s="242" t="s">
        <v>1148</v>
      </c>
      <c r="E1057" s="453">
        <v>100000</v>
      </c>
      <c r="F1057" s="451">
        <v>100000</v>
      </c>
      <c r="G1057" s="459">
        <f t="shared" si="16"/>
        <v>100</v>
      </c>
    </row>
    <row r="1058" spans="1:7">
      <c r="A1058" s="241" t="s">
        <v>209</v>
      </c>
      <c r="B1058" s="242" t="s">
        <v>2077</v>
      </c>
      <c r="C1058" s="242" t="s">
        <v>1199</v>
      </c>
      <c r="D1058" s="242" t="s">
        <v>392</v>
      </c>
      <c r="E1058" s="453">
        <v>100000</v>
      </c>
      <c r="F1058" s="451">
        <v>100000</v>
      </c>
      <c r="G1058" s="459">
        <f t="shared" si="16"/>
        <v>100</v>
      </c>
    </row>
    <row r="1059" spans="1:7">
      <c r="A1059" s="241" t="s">
        <v>466</v>
      </c>
      <c r="B1059" s="242" t="s">
        <v>985</v>
      </c>
      <c r="C1059" s="242"/>
      <c r="D1059" s="242"/>
      <c r="E1059" s="453">
        <v>19327132</v>
      </c>
      <c r="F1059" s="451">
        <v>18616301.649999999</v>
      </c>
      <c r="G1059" s="459">
        <f t="shared" si="16"/>
        <v>96.322111578686361</v>
      </c>
    </row>
    <row r="1060" spans="1:7" ht="25.5">
      <c r="A1060" s="241" t="s">
        <v>467</v>
      </c>
      <c r="B1060" s="242" t="s">
        <v>986</v>
      </c>
      <c r="C1060" s="242"/>
      <c r="D1060" s="242"/>
      <c r="E1060" s="453">
        <v>4221925</v>
      </c>
      <c r="F1060" s="451">
        <v>4028630.99</v>
      </c>
      <c r="G1060" s="459">
        <f t="shared" si="16"/>
        <v>95.421661682763201</v>
      </c>
    </row>
    <row r="1061" spans="1:7" ht="63.75">
      <c r="A1061" s="241" t="s">
        <v>1952</v>
      </c>
      <c r="B1061" s="242" t="s">
        <v>1953</v>
      </c>
      <c r="C1061" s="242"/>
      <c r="D1061" s="242"/>
      <c r="E1061" s="453">
        <v>511750</v>
      </c>
      <c r="F1061" s="451">
        <v>511750</v>
      </c>
      <c r="G1061" s="459">
        <f t="shared" si="16"/>
        <v>100</v>
      </c>
    </row>
    <row r="1062" spans="1:7" ht="25.5">
      <c r="A1062" s="241" t="s">
        <v>1327</v>
      </c>
      <c r="B1062" s="242" t="s">
        <v>1953</v>
      </c>
      <c r="C1062" s="242" t="s">
        <v>1328</v>
      </c>
      <c r="D1062" s="242"/>
      <c r="E1062" s="453">
        <v>511750</v>
      </c>
      <c r="F1062" s="451">
        <v>511750</v>
      </c>
      <c r="G1062" s="459">
        <f t="shared" si="16"/>
        <v>100</v>
      </c>
    </row>
    <row r="1063" spans="1:7">
      <c r="A1063" s="241" t="s">
        <v>1198</v>
      </c>
      <c r="B1063" s="242" t="s">
        <v>1953</v>
      </c>
      <c r="C1063" s="242" t="s">
        <v>1199</v>
      </c>
      <c r="D1063" s="242"/>
      <c r="E1063" s="453">
        <v>511750</v>
      </c>
      <c r="F1063" s="451">
        <v>511750</v>
      </c>
      <c r="G1063" s="459">
        <f t="shared" si="16"/>
        <v>100</v>
      </c>
    </row>
    <row r="1064" spans="1:7">
      <c r="A1064" s="241" t="s">
        <v>140</v>
      </c>
      <c r="B1064" s="242" t="s">
        <v>1953</v>
      </c>
      <c r="C1064" s="242" t="s">
        <v>1199</v>
      </c>
      <c r="D1064" s="242" t="s">
        <v>1142</v>
      </c>
      <c r="E1064" s="453">
        <v>511750</v>
      </c>
      <c r="F1064" s="451">
        <v>511750</v>
      </c>
      <c r="G1064" s="459">
        <f t="shared" si="16"/>
        <v>100</v>
      </c>
    </row>
    <row r="1065" spans="1:7">
      <c r="A1065" s="241" t="s">
        <v>1075</v>
      </c>
      <c r="B1065" s="242" t="s">
        <v>1953</v>
      </c>
      <c r="C1065" s="242" t="s">
        <v>1199</v>
      </c>
      <c r="D1065" s="242" t="s">
        <v>365</v>
      </c>
      <c r="E1065" s="453">
        <v>511750</v>
      </c>
      <c r="F1065" s="451">
        <v>511750</v>
      </c>
      <c r="G1065" s="459">
        <f t="shared" si="16"/>
        <v>100</v>
      </c>
    </row>
    <row r="1066" spans="1:7" ht="63.75">
      <c r="A1066" s="241" t="s">
        <v>1515</v>
      </c>
      <c r="B1066" s="242" t="s">
        <v>682</v>
      </c>
      <c r="C1066" s="242"/>
      <c r="D1066" s="242"/>
      <c r="E1066" s="453">
        <v>1210175</v>
      </c>
      <c r="F1066" s="451">
        <v>1016880.99</v>
      </c>
      <c r="G1066" s="459">
        <f t="shared" si="16"/>
        <v>84.027598487822004</v>
      </c>
    </row>
    <row r="1067" spans="1:7" ht="25.5">
      <c r="A1067" s="241" t="s">
        <v>1327</v>
      </c>
      <c r="B1067" s="242" t="s">
        <v>682</v>
      </c>
      <c r="C1067" s="242" t="s">
        <v>1328</v>
      </c>
      <c r="D1067" s="242"/>
      <c r="E1067" s="453">
        <v>1210175</v>
      </c>
      <c r="F1067" s="451">
        <v>1016880.99</v>
      </c>
      <c r="G1067" s="459">
        <f t="shared" si="16"/>
        <v>84.027598487822004</v>
      </c>
    </row>
    <row r="1068" spans="1:7">
      <c r="A1068" s="241" t="s">
        <v>1198</v>
      </c>
      <c r="B1068" s="242" t="s">
        <v>682</v>
      </c>
      <c r="C1068" s="242" t="s">
        <v>1199</v>
      </c>
      <c r="D1068" s="242"/>
      <c r="E1068" s="453">
        <v>1210175</v>
      </c>
      <c r="F1068" s="451">
        <v>1016880.99</v>
      </c>
      <c r="G1068" s="459">
        <f t="shared" si="16"/>
        <v>84.027598487822004</v>
      </c>
    </row>
    <row r="1069" spans="1:7">
      <c r="A1069" s="241" t="s">
        <v>140</v>
      </c>
      <c r="B1069" s="242" t="s">
        <v>682</v>
      </c>
      <c r="C1069" s="242" t="s">
        <v>1199</v>
      </c>
      <c r="D1069" s="242" t="s">
        <v>1142</v>
      </c>
      <c r="E1069" s="453">
        <v>1210175</v>
      </c>
      <c r="F1069" s="451">
        <v>1016880.99</v>
      </c>
      <c r="G1069" s="459">
        <f t="shared" si="16"/>
        <v>84.027598487822004</v>
      </c>
    </row>
    <row r="1070" spans="1:7">
      <c r="A1070" s="241" t="s">
        <v>1075</v>
      </c>
      <c r="B1070" s="242" t="s">
        <v>682</v>
      </c>
      <c r="C1070" s="242" t="s">
        <v>1199</v>
      </c>
      <c r="D1070" s="242" t="s">
        <v>365</v>
      </c>
      <c r="E1070" s="453">
        <v>1210175</v>
      </c>
      <c r="F1070" s="451">
        <v>1016880.99</v>
      </c>
      <c r="G1070" s="459">
        <f t="shared" si="16"/>
        <v>84.027598487822004</v>
      </c>
    </row>
    <row r="1071" spans="1:7" ht="102">
      <c r="A1071" s="241" t="s">
        <v>1482</v>
      </c>
      <c r="B1071" s="242" t="s">
        <v>799</v>
      </c>
      <c r="C1071" s="242"/>
      <c r="D1071" s="242"/>
      <c r="E1071" s="453">
        <v>2500000</v>
      </c>
      <c r="F1071" s="451">
        <v>2500000</v>
      </c>
      <c r="G1071" s="459">
        <f t="shared" si="16"/>
        <v>100</v>
      </c>
    </row>
    <row r="1072" spans="1:7">
      <c r="A1072" s="241" t="s">
        <v>1329</v>
      </c>
      <c r="B1072" s="242" t="s">
        <v>799</v>
      </c>
      <c r="C1072" s="242" t="s">
        <v>1330</v>
      </c>
      <c r="D1072" s="242"/>
      <c r="E1072" s="453">
        <v>2500000</v>
      </c>
      <c r="F1072" s="451">
        <v>2500000</v>
      </c>
      <c r="G1072" s="459">
        <f t="shared" si="16"/>
        <v>100</v>
      </c>
    </row>
    <row r="1073" spans="1:7">
      <c r="A1073" s="241" t="s">
        <v>68</v>
      </c>
      <c r="B1073" s="242" t="s">
        <v>799</v>
      </c>
      <c r="C1073" s="242" t="s">
        <v>430</v>
      </c>
      <c r="D1073" s="242"/>
      <c r="E1073" s="453">
        <v>2500000</v>
      </c>
      <c r="F1073" s="451">
        <v>2500000</v>
      </c>
      <c r="G1073" s="459">
        <f t="shared" si="16"/>
        <v>100</v>
      </c>
    </row>
    <row r="1074" spans="1:7">
      <c r="A1074" s="241" t="s">
        <v>140</v>
      </c>
      <c r="B1074" s="242" t="s">
        <v>799</v>
      </c>
      <c r="C1074" s="242" t="s">
        <v>430</v>
      </c>
      <c r="D1074" s="242" t="s">
        <v>1142</v>
      </c>
      <c r="E1074" s="453">
        <v>2500000</v>
      </c>
      <c r="F1074" s="451">
        <v>2500000</v>
      </c>
      <c r="G1074" s="459">
        <f t="shared" si="16"/>
        <v>100</v>
      </c>
    </row>
    <row r="1075" spans="1:7">
      <c r="A1075" s="241" t="s">
        <v>1075</v>
      </c>
      <c r="B1075" s="242" t="s">
        <v>799</v>
      </c>
      <c r="C1075" s="242" t="s">
        <v>430</v>
      </c>
      <c r="D1075" s="242" t="s">
        <v>365</v>
      </c>
      <c r="E1075" s="453">
        <v>2500000</v>
      </c>
      <c r="F1075" s="451">
        <v>2500000</v>
      </c>
      <c r="G1075" s="459">
        <f t="shared" si="16"/>
        <v>100</v>
      </c>
    </row>
    <row r="1076" spans="1:7" ht="25.5">
      <c r="A1076" s="241" t="s">
        <v>469</v>
      </c>
      <c r="B1076" s="242" t="s">
        <v>1954</v>
      </c>
      <c r="C1076" s="242"/>
      <c r="D1076" s="242"/>
      <c r="E1076" s="453">
        <v>308100</v>
      </c>
      <c r="F1076" s="451">
        <v>298661.3</v>
      </c>
      <c r="G1076" s="459">
        <f t="shared" si="16"/>
        <v>96.936481661798112</v>
      </c>
    </row>
    <row r="1077" spans="1:7" ht="51">
      <c r="A1077" s="241" t="s">
        <v>369</v>
      </c>
      <c r="B1077" s="242" t="s">
        <v>683</v>
      </c>
      <c r="C1077" s="242"/>
      <c r="D1077" s="242"/>
      <c r="E1077" s="453">
        <v>205100</v>
      </c>
      <c r="F1077" s="451">
        <v>205100</v>
      </c>
      <c r="G1077" s="459">
        <f t="shared" si="16"/>
        <v>100</v>
      </c>
    </row>
    <row r="1078" spans="1:7" ht="25.5">
      <c r="A1078" s="241" t="s">
        <v>1327</v>
      </c>
      <c r="B1078" s="242" t="s">
        <v>683</v>
      </c>
      <c r="C1078" s="242" t="s">
        <v>1328</v>
      </c>
      <c r="D1078" s="242"/>
      <c r="E1078" s="453">
        <v>205100</v>
      </c>
      <c r="F1078" s="451">
        <v>205100</v>
      </c>
      <c r="G1078" s="459">
        <f t="shared" si="16"/>
        <v>100</v>
      </c>
    </row>
    <row r="1079" spans="1:7">
      <c r="A1079" s="241" t="s">
        <v>1198</v>
      </c>
      <c r="B1079" s="242" t="s">
        <v>683</v>
      </c>
      <c r="C1079" s="242" t="s">
        <v>1199</v>
      </c>
      <c r="D1079" s="242"/>
      <c r="E1079" s="453">
        <v>205100</v>
      </c>
      <c r="F1079" s="451">
        <v>205100</v>
      </c>
      <c r="G1079" s="459">
        <f t="shared" si="16"/>
        <v>100</v>
      </c>
    </row>
    <row r="1080" spans="1:7">
      <c r="A1080" s="241" t="s">
        <v>140</v>
      </c>
      <c r="B1080" s="242" t="s">
        <v>683</v>
      </c>
      <c r="C1080" s="242" t="s">
        <v>1199</v>
      </c>
      <c r="D1080" s="242" t="s">
        <v>1142</v>
      </c>
      <c r="E1080" s="453">
        <v>205100</v>
      </c>
      <c r="F1080" s="451">
        <v>205100</v>
      </c>
      <c r="G1080" s="459">
        <f t="shared" si="16"/>
        <v>100</v>
      </c>
    </row>
    <row r="1081" spans="1:7">
      <c r="A1081" s="241" t="s">
        <v>1075</v>
      </c>
      <c r="B1081" s="242" t="s">
        <v>683</v>
      </c>
      <c r="C1081" s="242" t="s">
        <v>1199</v>
      </c>
      <c r="D1081" s="242" t="s">
        <v>365</v>
      </c>
      <c r="E1081" s="453">
        <v>205100</v>
      </c>
      <c r="F1081" s="451">
        <v>205100</v>
      </c>
      <c r="G1081" s="459">
        <f t="shared" si="16"/>
        <v>100</v>
      </c>
    </row>
    <row r="1082" spans="1:7" ht="76.5">
      <c r="A1082" s="241" t="s">
        <v>1517</v>
      </c>
      <c r="B1082" s="242" t="s">
        <v>1504</v>
      </c>
      <c r="C1082" s="242"/>
      <c r="D1082" s="242"/>
      <c r="E1082" s="453">
        <v>20000</v>
      </c>
      <c r="F1082" s="451">
        <v>20000</v>
      </c>
      <c r="G1082" s="459">
        <f t="shared" si="16"/>
        <v>100</v>
      </c>
    </row>
    <row r="1083" spans="1:7" ht="25.5">
      <c r="A1083" s="241" t="s">
        <v>1327</v>
      </c>
      <c r="B1083" s="242" t="s">
        <v>1504</v>
      </c>
      <c r="C1083" s="242" t="s">
        <v>1328</v>
      </c>
      <c r="D1083" s="242"/>
      <c r="E1083" s="453">
        <v>20000</v>
      </c>
      <c r="F1083" s="451">
        <v>20000</v>
      </c>
      <c r="G1083" s="459">
        <f t="shared" si="16"/>
        <v>100</v>
      </c>
    </row>
    <row r="1084" spans="1:7">
      <c r="A1084" s="241" t="s">
        <v>1198</v>
      </c>
      <c r="B1084" s="242" t="s">
        <v>1504</v>
      </c>
      <c r="C1084" s="242" t="s">
        <v>1199</v>
      </c>
      <c r="D1084" s="242"/>
      <c r="E1084" s="453">
        <v>20000</v>
      </c>
      <c r="F1084" s="451">
        <v>20000</v>
      </c>
      <c r="G1084" s="459">
        <f t="shared" si="16"/>
        <v>100</v>
      </c>
    </row>
    <row r="1085" spans="1:7">
      <c r="A1085" s="241" t="s">
        <v>140</v>
      </c>
      <c r="B1085" s="242" t="s">
        <v>1504</v>
      </c>
      <c r="C1085" s="242" t="s">
        <v>1199</v>
      </c>
      <c r="D1085" s="242" t="s">
        <v>1142</v>
      </c>
      <c r="E1085" s="453">
        <v>20000</v>
      </c>
      <c r="F1085" s="451">
        <v>20000</v>
      </c>
      <c r="G1085" s="459">
        <f t="shared" si="16"/>
        <v>100</v>
      </c>
    </row>
    <row r="1086" spans="1:7">
      <c r="A1086" s="241" t="s">
        <v>1075</v>
      </c>
      <c r="B1086" s="242" t="s">
        <v>1504</v>
      </c>
      <c r="C1086" s="242" t="s">
        <v>1199</v>
      </c>
      <c r="D1086" s="242" t="s">
        <v>365</v>
      </c>
      <c r="E1086" s="453">
        <v>20000</v>
      </c>
      <c r="F1086" s="451">
        <v>20000</v>
      </c>
      <c r="G1086" s="459">
        <f t="shared" si="16"/>
        <v>100</v>
      </c>
    </row>
    <row r="1087" spans="1:7" ht="63.75">
      <c r="A1087" s="241" t="s">
        <v>2143</v>
      </c>
      <c r="B1087" s="242" t="s">
        <v>2144</v>
      </c>
      <c r="C1087" s="242"/>
      <c r="D1087" s="242"/>
      <c r="E1087" s="453">
        <v>83000</v>
      </c>
      <c r="F1087" s="451">
        <v>73561.3</v>
      </c>
      <c r="G1087" s="459">
        <f t="shared" si="16"/>
        <v>88.628072289156634</v>
      </c>
    </row>
    <row r="1088" spans="1:7" ht="25.5">
      <c r="A1088" s="241" t="s">
        <v>1327</v>
      </c>
      <c r="B1088" s="242" t="s">
        <v>2144</v>
      </c>
      <c r="C1088" s="242" t="s">
        <v>1328</v>
      </c>
      <c r="D1088" s="242"/>
      <c r="E1088" s="453">
        <v>83000</v>
      </c>
      <c r="F1088" s="451">
        <v>73561.3</v>
      </c>
      <c r="G1088" s="459">
        <f t="shared" si="16"/>
        <v>88.628072289156634</v>
      </c>
    </row>
    <row r="1089" spans="1:7">
      <c r="A1089" s="241" t="s">
        <v>1198</v>
      </c>
      <c r="B1089" s="242" t="s">
        <v>2144</v>
      </c>
      <c r="C1089" s="242" t="s">
        <v>1199</v>
      </c>
      <c r="D1089" s="242"/>
      <c r="E1089" s="453">
        <v>83000</v>
      </c>
      <c r="F1089" s="451">
        <v>73561.3</v>
      </c>
      <c r="G1089" s="459">
        <f t="shared" si="16"/>
        <v>88.628072289156634</v>
      </c>
    </row>
    <row r="1090" spans="1:7">
      <c r="A1090" s="241" t="s">
        <v>140</v>
      </c>
      <c r="B1090" s="242" t="s">
        <v>2144</v>
      </c>
      <c r="C1090" s="242" t="s">
        <v>1199</v>
      </c>
      <c r="D1090" s="242" t="s">
        <v>1142</v>
      </c>
      <c r="E1090" s="453">
        <v>83000</v>
      </c>
      <c r="F1090" s="451">
        <v>73561.3</v>
      </c>
      <c r="G1090" s="459">
        <f t="shared" si="16"/>
        <v>88.628072289156634</v>
      </c>
    </row>
    <row r="1091" spans="1:7">
      <c r="A1091" s="241" t="s">
        <v>1075</v>
      </c>
      <c r="B1091" s="242" t="s">
        <v>2144</v>
      </c>
      <c r="C1091" s="242" t="s">
        <v>1199</v>
      </c>
      <c r="D1091" s="242" t="s">
        <v>365</v>
      </c>
      <c r="E1091" s="453">
        <v>83000</v>
      </c>
      <c r="F1091" s="451">
        <v>73561.3</v>
      </c>
      <c r="G1091" s="459">
        <f t="shared" si="16"/>
        <v>88.628072289156634</v>
      </c>
    </row>
    <row r="1092" spans="1:7" ht="25.5">
      <c r="A1092" s="241" t="s">
        <v>471</v>
      </c>
      <c r="B1092" s="242" t="s">
        <v>2082</v>
      </c>
      <c r="C1092" s="242"/>
      <c r="D1092" s="242"/>
      <c r="E1092" s="453">
        <v>3498120</v>
      </c>
      <c r="F1092" s="451">
        <v>3498120</v>
      </c>
      <c r="G1092" s="459">
        <f t="shared" si="16"/>
        <v>100</v>
      </c>
    </row>
    <row r="1093" spans="1:7" ht="76.5">
      <c r="A1093" s="241" t="s">
        <v>1516</v>
      </c>
      <c r="B1093" s="242" t="s">
        <v>1231</v>
      </c>
      <c r="C1093" s="242"/>
      <c r="D1093" s="242"/>
      <c r="E1093" s="453">
        <v>3498120</v>
      </c>
      <c r="F1093" s="451">
        <v>3498120</v>
      </c>
      <c r="G1093" s="459">
        <f t="shared" si="16"/>
        <v>100</v>
      </c>
    </row>
    <row r="1094" spans="1:7">
      <c r="A1094" s="241" t="s">
        <v>1323</v>
      </c>
      <c r="B1094" s="242" t="s">
        <v>1231</v>
      </c>
      <c r="C1094" s="242" t="s">
        <v>1324</v>
      </c>
      <c r="D1094" s="242"/>
      <c r="E1094" s="453">
        <v>3498120</v>
      </c>
      <c r="F1094" s="451">
        <v>3498120</v>
      </c>
      <c r="G1094" s="459">
        <f t="shared" si="16"/>
        <v>100</v>
      </c>
    </row>
    <row r="1095" spans="1:7" ht="25.5">
      <c r="A1095" s="241" t="s">
        <v>1200</v>
      </c>
      <c r="B1095" s="242" t="s">
        <v>1231</v>
      </c>
      <c r="C1095" s="242" t="s">
        <v>557</v>
      </c>
      <c r="D1095" s="242"/>
      <c r="E1095" s="453">
        <v>3498120</v>
      </c>
      <c r="F1095" s="451">
        <v>3498120</v>
      </c>
      <c r="G1095" s="459">
        <f t="shared" ref="G1095:G1158" si="17">F1095/E1095*100</f>
        <v>100</v>
      </c>
    </row>
    <row r="1096" spans="1:7">
      <c r="A1096" s="241" t="s">
        <v>141</v>
      </c>
      <c r="B1096" s="242" t="s">
        <v>1231</v>
      </c>
      <c r="C1096" s="242" t="s">
        <v>557</v>
      </c>
      <c r="D1096" s="242" t="s">
        <v>1143</v>
      </c>
      <c r="E1096" s="453">
        <v>3498120</v>
      </c>
      <c r="F1096" s="451">
        <v>3498120</v>
      </c>
      <c r="G1096" s="459">
        <f t="shared" si="17"/>
        <v>100</v>
      </c>
    </row>
    <row r="1097" spans="1:7">
      <c r="A1097" s="241" t="s">
        <v>98</v>
      </c>
      <c r="B1097" s="242" t="s">
        <v>1231</v>
      </c>
      <c r="C1097" s="242" t="s">
        <v>557</v>
      </c>
      <c r="D1097" s="242" t="s">
        <v>378</v>
      </c>
      <c r="E1097" s="453">
        <v>3498120</v>
      </c>
      <c r="F1097" s="451">
        <v>3498120</v>
      </c>
      <c r="G1097" s="459">
        <f t="shared" si="17"/>
        <v>100</v>
      </c>
    </row>
    <row r="1098" spans="1:7" ht="25.5">
      <c r="A1098" s="241" t="s">
        <v>447</v>
      </c>
      <c r="B1098" s="242" t="s">
        <v>987</v>
      </c>
      <c r="C1098" s="242"/>
      <c r="D1098" s="242"/>
      <c r="E1098" s="453">
        <v>11148262</v>
      </c>
      <c r="F1098" s="451">
        <v>10710739.359999999</v>
      </c>
      <c r="G1098" s="459">
        <f t="shared" si="17"/>
        <v>96.075418392570967</v>
      </c>
    </row>
    <row r="1099" spans="1:7" ht="89.25">
      <c r="A1099" s="241" t="s">
        <v>2225</v>
      </c>
      <c r="B1099" s="242" t="s">
        <v>2226</v>
      </c>
      <c r="C1099" s="242"/>
      <c r="D1099" s="242"/>
      <c r="E1099" s="453">
        <v>716100</v>
      </c>
      <c r="F1099" s="451">
        <v>716100</v>
      </c>
      <c r="G1099" s="459">
        <f t="shared" si="17"/>
        <v>100</v>
      </c>
    </row>
    <row r="1100" spans="1:7" ht="25.5">
      <c r="A1100" s="241" t="s">
        <v>1327</v>
      </c>
      <c r="B1100" s="242" t="s">
        <v>2226</v>
      </c>
      <c r="C1100" s="242" t="s">
        <v>1328</v>
      </c>
      <c r="D1100" s="242"/>
      <c r="E1100" s="453">
        <v>716100</v>
      </c>
      <c r="F1100" s="451">
        <v>716100</v>
      </c>
      <c r="G1100" s="459">
        <f t="shared" si="17"/>
        <v>100</v>
      </c>
    </row>
    <row r="1101" spans="1:7">
      <c r="A1101" s="241" t="s">
        <v>1198</v>
      </c>
      <c r="B1101" s="242" t="s">
        <v>2226</v>
      </c>
      <c r="C1101" s="242" t="s">
        <v>1199</v>
      </c>
      <c r="D1101" s="242"/>
      <c r="E1101" s="453">
        <v>716100</v>
      </c>
      <c r="F1101" s="451">
        <v>716100</v>
      </c>
      <c r="G1101" s="459">
        <f t="shared" si="17"/>
        <v>100</v>
      </c>
    </row>
    <row r="1102" spans="1:7">
      <c r="A1102" s="241" t="s">
        <v>140</v>
      </c>
      <c r="B1102" s="242" t="s">
        <v>2226</v>
      </c>
      <c r="C1102" s="242" t="s">
        <v>1199</v>
      </c>
      <c r="D1102" s="242" t="s">
        <v>1142</v>
      </c>
      <c r="E1102" s="453">
        <v>716100</v>
      </c>
      <c r="F1102" s="451">
        <v>716100</v>
      </c>
      <c r="G1102" s="459">
        <f t="shared" si="17"/>
        <v>100</v>
      </c>
    </row>
    <row r="1103" spans="1:7">
      <c r="A1103" s="241" t="s">
        <v>1075</v>
      </c>
      <c r="B1103" s="242" t="s">
        <v>2226</v>
      </c>
      <c r="C1103" s="242" t="s">
        <v>1199</v>
      </c>
      <c r="D1103" s="242" t="s">
        <v>365</v>
      </c>
      <c r="E1103" s="453">
        <v>716100</v>
      </c>
      <c r="F1103" s="451">
        <v>716100</v>
      </c>
      <c r="G1103" s="459">
        <f t="shared" si="17"/>
        <v>100</v>
      </c>
    </row>
    <row r="1104" spans="1:7" ht="127.5">
      <c r="A1104" s="241" t="s">
        <v>2058</v>
      </c>
      <c r="B1104" s="242" t="s">
        <v>2059</v>
      </c>
      <c r="C1104" s="242"/>
      <c r="D1104" s="242"/>
      <c r="E1104" s="453">
        <v>206600</v>
      </c>
      <c r="F1104" s="451">
        <v>206600</v>
      </c>
      <c r="G1104" s="459">
        <f t="shared" si="17"/>
        <v>100</v>
      </c>
    </row>
    <row r="1105" spans="1:7" ht="25.5">
      <c r="A1105" s="241" t="s">
        <v>1327</v>
      </c>
      <c r="B1105" s="242" t="s">
        <v>2059</v>
      </c>
      <c r="C1105" s="242" t="s">
        <v>1328</v>
      </c>
      <c r="D1105" s="242"/>
      <c r="E1105" s="453">
        <v>206600</v>
      </c>
      <c r="F1105" s="451">
        <v>206600</v>
      </c>
      <c r="G1105" s="459">
        <f t="shared" si="17"/>
        <v>100</v>
      </c>
    </row>
    <row r="1106" spans="1:7">
      <c r="A1106" s="241" t="s">
        <v>1198</v>
      </c>
      <c r="B1106" s="242" t="s">
        <v>2059</v>
      </c>
      <c r="C1106" s="242" t="s">
        <v>1199</v>
      </c>
      <c r="D1106" s="242"/>
      <c r="E1106" s="453">
        <v>206600</v>
      </c>
      <c r="F1106" s="451">
        <v>206600</v>
      </c>
      <c r="G1106" s="459">
        <f t="shared" si="17"/>
        <v>100</v>
      </c>
    </row>
    <row r="1107" spans="1:7">
      <c r="A1107" s="241" t="s">
        <v>140</v>
      </c>
      <c r="B1107" s="242" t="s">
        <v>2059</v>
      </c>
      <c r="C1107" s="242" t="s">
        <v>1199</v>
      </c>
      <c r="D1107" s="242" t="s">
        <v>1142</v>
      </c>
      <c r="E1107" s="453">
        <v>206600</v>
      </c>
      <c r="F1107" s="451">
        <v>206600</v>
      </c>
      <c r="G1107" s="459">
        <f t="shared" si="17"/>
        <v>100</v>
      </c>
    </row>
    <row r="1108" spans="1:7">
      <c r="A1108" s="241" t="s">
        <v>1075</v>
      </c>
      <c r="B1108" s="242" t="s">
        <v>2059</v>
      </c>
      <c r="C1108" s="242" t="s">
        <v>1199</v>
      </c>
      <c r="D1108" s="242" t="s">
        <v>365</v>
      </c>
      <c r="E1108" s="453">
        <v>206600</v>
      </c>
      <c r="F1108" s="451">
        <v>206600</v>
      </c>
      <c r="G1108" s="459">
        <f t="shared" si="17"/>
        <v>100</v>
      </c>
    </row>
    <row r="1109" spans="1:7" ht="76.5">
      <c r="A1109" s="241" t="s">
        <v>2060</v>
      </c>
      <c r="B1109" s="242" t="s">
        <v>2061</v>
      </c>
      <c r="C1109" s="242"/>
      <c r="D1109" s="242"/>
      <c r="E1109" s="453">
        <v>686261</v>
      </c>
      <c r="F1109" s="451">
        <v>686261</v>
      </c>
      <c r="G1109" s="459">
        <f t="shared" si="17"/>
        <v>100</v>
      </c>
    </row>
    <row r="1110" spans="1:7" ht="25.5">
      <c r="A1110" s="241" t="s">
        <v>1327</v>
      </c>
      <c r="B1110" s="242" t="s">
        <v>2061</v>
      </c>
      <c r="C1110" s="242" t="s">
        <v>1328</v>
      </c>
      <c r="D1110" s="242"/>
      <c r="E1110" s="453">
        <v>686261</v>
      </c>
      <c r="F1110" s="451">
        <v>686261</v>
      </c>
      <c r="G1110" s="459">
        <f t="shared" si="17"/>
        <v>100</v>
      </c>
    </row>
    <row r="1111" spans="1:7">
      <c r="A1111" s="241" t="s">
        <v>1198</v>
      </c>
      <c r="B1111" s="242" t="s">
        <v>2061</v>
      </c>
      <c r="C1111" s="242" t="s">
        <v>1199</v>
      </c>
      <c r="D1111" s="242"/>
      <c r="E1111" s="453">
        <v>686261</v>
      </c>
      <c r="F1111" s="451">
        <v>686261</v>
      </c>
      <c r="G1111" s="459">
        <f t="shared" si="17"/>
        <v>100</v>
      </c>
    </row>
    <row r="1112" spans="1:7">
      <c r="A1112" s="241" t="s">
        <v>140</v>
      </c>
      <c r="B1112" s="242" t="s">
        <v>2061</v>
      </c>
      <c r="C1112" s="242" t="s">
        <v>1199</v>
      </c>
      <c r="D1112" s="242" t="s">
        <v>1142</v>
      </c>
      <c r="E1112" s="453">
        <v>686261</v>
      </c>
      <c r="F1112" s="451">
        <v>686261</v>
      </c>
      <c r="G1112" s="459">
        <f t="shared" si="17"/>
        <v>100</v>
      </c>
    </row>
    <row r="1113" spans="1:7">
      <c r="A1113" s="241" t="s">
        <v>1075</v>
      </c>
      <c r="B1113" s="242" t="s">
        <v>2061</v>
      </c>
      <c r="C1113" s="242" t="s">
        <v>1199</v>
      </c>
      <c r="D1113" s="242" t="s">
        <v>365</v>
      </c>
      <c r="E1113" s="453">
        <v>686261</v>
      </c>
      <c r="F1113" s="451">
        <v>686261</v>
      </c>
      <c r="G1113" s="459">
        <f t="shared" si="17"/>
        <v>100</v>
      </c>
    </row>
    <row r="1114" spans="1:7" ht="102">
      <c r="A1114" s="241" t="s">
        <v>371</v>
      </c>
      <c r="B1114" s="242" t="s">
        <v>685</v>
      </c>
      <c r="C1114" s="242"/>
      <c r="D1114" s="242"/>
      <c r="E1114" s="453">
        <v>5973583</v>
      </c>
      <c r="F1114" s="451">
        <v>5856021</v>
      </c>
      <c r="G1114" s="459">
        <f t="shared" si="17"/>
        <v>98.031968418284293</v>
      </c>
    </row>
    <row r="1115" spans="1:7" ht="25.5">
      <c r="A1115" s="241" t="s">
        <v>1327</v>
      </c>
      <c r="B1115" s="242" t="s">
        <v>685</v>
      </c>
      <c r="C1115" s="242" t="s">
        <v>1328</v>
      </c>
      <c r="D1115" s="242"/>
      <c r="E1115" s="453">
        <v>5973583</v>
      </c>
      <c r="F1115" s="451">
        <v>5856021</v>
      </c>
      <c r="G1115" s="459">
        <f t="shared" si="17"/>
        <v>98.031968418284293</v>
      </c>
    </row>
    <row r="1116" spans="1:7">
      <c r="A1116" s="241" t="s">
        <v>1198</v>
      </c>
      <c r="B1116" s="242" t="s">
        <v>685</v>
      </c>
      <c r="C1116" s="242" t="s">
        <v>1199</v>
      </c>
      <c r="D1116" s="242"/>
      <c r="E1116" s="453">
        <v>5973583</v>
      </c>
      <c r="F1116" s="451">
        <v>5856021</v>
      </c>
      <c r="G1116" s="459">
        <f t="shared" si="17"/>
        <v>98.031968418284293</v>
      </c>
    </row>
    <row r="1117" spans="1:7">
      <c r="A1117" s="241" t="s">
        <v>140</v>
      </c>
      <c r="B1117" s="242" t="s">
        <v>685</v>
      </c>
      <c r="C1117" s="242" t="s">
        <v>1199</v>
      </c>
      <c r="D1117" s="242" t="s">
        <v>1142</v>
      </c>
      <c r="E1117" s="453">
        <v>5973583</v>
      </c>
      <c r="F1117" s="451">
        <v>5856021</v>
      </c>
      <c r="G1117" s="459">
        <f t="shared" si="17"/>
        <v>98.031968418284293</v>
      </c>
    </row>
    <row r="1118" spans="1:7">
      <c r="A1118" s="241" t="s">
        <v>1075</v>
      </c>
      <c r="B1118" s="242" t="s">
        <v>685</v>
      </c>
      <c r="C1118" s="242" t="s">
        <v>1199</v>
      </c>
      <c r="D1118" s="242" t="s">
        <v>365</v>
      </c>
      <c r="E1118" s="453">
        <v>5973583</v>
      </c>
      <c r="F1118" s="451">
        <v>5856021</v>
      </c>
      <c r="G1118" s="459">
        <f t="shared" si="17"/>
        <v>98.031968418284293</v>
      </c>
    </row>
    <row r="1119" spans="1:7" ht="127.5">
      <c r="A1119" s="241" t="s">
        <v>372</v>
      </c>
      <c r="B1119" s="242" t="s">
        <v>686</v>
      </c>
      <c r="C1119" s="242"/>
      <c r="D1119" s="242"/>
      <c r="E1119" s="453">
        <v>1536900</v>
      </c>
      <c r="F1119" s="451">
        <v>1340904.95</v>
      </c>
      <c r="G1119" s="459">
        <f t="shared" si="17"/>
        <v>87.247377838506083</v>
      </c>
    </row>
    <row r="1120" spans="1:7" ht="25.5">
      <c r="A1120" s="241" t="s">
        <v>1327</v>
      </c>
      <c r="B1120" s="242" t="s">
        <v>686</v>
      </c>
      <c r="C1120" s="242" t="s">
        <v>1328</v>
      </c>
      <c r="D1120" s="242"/>
      <c r="E1120" s="453">
        <v>1536900</v>
      </c>
      <c r="F1120" s="451">
        <v>1340904.95</v>
      </c>
      <c r="G1120" s="459">
        <f t="shared" si="17"/>
        <v>87.247377838506083</v>
      </c>
    </row>
    <row r="1121" spans="1:7">
      <c r="A1121" s="241" t="s">
        <v>1198</v>
      </c>
      <c r="B1121" s="242" t="s">
        <v>686</v>
      </c>
      <c r="C1121" s="242" t="s">
        <v>1199</v>
      </c>
      <c r="D1121" s="242"/>
      <c r="E1121" s="453">
        <v>1536900</v>
      </c>
      <c r="F1121" s="451">
        <v>1340904.95</v>
      </c>
      <c r="G1121" s="459">
        <f t="shared" si="17"/>
        <v>87.247377838506083</v>
      </c>
    </row>
    <row r="1122" spans="1:7">
      <c r="A1122" s="241" t="s">
        <v>140</v>
      </c>
      <c r="B1122" s="242" t="s">
        <v>686</v>
      </c>
      <c r="C1122" s="242" t="s">
        <v>1199</v>
      </c>
      <c r="D1122" s="242" t="s">
        <v>1142</v>
      </c>
      <c r="E1122" s="453">
        <v>1536900</v>
      </c>
      <c r="F1122" s="451">
        <v>1340904.95</v>
      </c>
      <c r="G1122" s="459">
        <f t="shared" si="17"/>
        <v>87.247377838506083</v>
      </c>
    </row>
    <row r="1123" spans="1:7">
      <c r="A1123" s="241" t="s">
        <v>1075</v>
      </c>
      <c r="B1123" s="242" t="s">
        <v>686</v>
      </c>
      <c r="C1123" s="242" t="s">
        <v>1199</v>
      </c>
      <c r="D1123" s="242" t="s">
        <v>365</v>
      </c>
      <c r="E1123" s="453">
        <v>1536900</v>
      </c>
      <c r="F1123" s="451">
        <v>1340904.95</v>
      </c>
      <c r="G1123" s="459">
        <f t="shared" si="17"/>
        <v>87.247377838506083</v>
      </c>
    </row>
    <row r="1124" spans="1:7" ht="89.25">
      <c r="A1124" s="241" t="s">
        <v>907</v>
      </c>
      <c r="B1124" s="242" t="s">
        <v>906</v>
      </c>
      <c r="C1124" s="242"/>
      <c r="D1124" s="242"/>
      <c r="E1124" s="453">
        <v>17818</v>
      </c>
      <c r="F1124" s="451">
        <v>17651.400000000001</v>
      </c>
      <c r="G1124" s="459">
        <f t="shared" si="17"/>
        <v>99.064990459086317</v>
      </c>
    </row>
    <row r="1125" spans="1:7" ht="25.5">
      <c r="A1125" s="241" t="s">
        <v>1327</v>
      </c>
      <c r="B1125" s="242" t="s">
        <v>906</v>
      </c>
      <c r="C1125" s="242" t="s">
        <v>1328</v>
      </c>
      <c r="D1125" s="242"/>
      <c r="E1125" s="453">
        <v>17818</v>
      </c>
      <c r="F1125" s="451">
        <v>17651.400000000001</v>
      </c>
      <c r="G1125" s="459">
        <f t="shared" si="17"/>
        <v>99.064990459086317</v>
      </c>
    </row>
    <row r="1126" spans="1:7">
      <c r="A1126" s="241" t="s">
        <v>1198</v>
      </c>
      <c r="B1126" s="242" t="s">
        <v>906</v>
      </c>
      <c r="C1126" s="242" t="s">
        <v>1199</v>
      </c>
      <c r="D1126" s="242"/>
      <c r="E1126" s="453">
        <v>17818</v>
      </c>
      <c r="F1126" s="451">
        <v>17651.400000000001</v>
      </c>
      <c r="G1126" s="459">
        <f t="shared" si="17"/>
        <v>99.064990459086317</v>
      </c>
    </row>
    <row r="1127" spans="1:7">
      <c r="A1127" s="241" t="s">
        <v>140</v>
      </c>
      <c r="B1127" s="242" t="s">
        <v>906</v>
      </c>
      <c r="C1127" s="242" t="s">
        <v>1199</v>
      </c>
      <c r="D1127" s="242" t="s">
        <v>1142</v>
      </c>
      <c r="E1127" s="453">
        <v>17818</v>
      </c>
      <c r="F1127" s="451">
        <v>17651.400000000001</v>
      </c>
      <c r="G1127" s="459">
        <f t="shared" si="17"/>
        <v>99.064990459086317</v>
      </c>
    </row>
    <row r="1128" spans="1:7">
      <c r="A1128" s="241" t="s">
        <v>1075</v>
      </c>
      <c r="B1128" s="242" t="s">
        <v>906</v>
      </c>
      <c r="C1128" s="242" t="s">
        <v>1199</v>
      </c>
      <c r="D1128" s="242" t="s">
        <v>365</v>
      </c>
      <c r="E1128" s="453">
        <v>17818</v>
      </c>
      <c r="F1128" s="451">
        <v>17651.400000000001</v>
      </c>
      <c r="G1128" s="459">
        <f t="shared" si="17"/>
        <v>99.064990459086317</v>
      </c>
    </row>
    <row r="1129" spans="1:7" ht="76.5">
      <c r="A1129" s="241" t="s">
        <v>1216</v>
      </c>
      <c r="B1129" s="242" t="s">
        <v>1217</v>
      </c>
      <c r="C1129" s="242"/>
      <c r="D1129" s="242"/>
      <c r="E1129" s="453">
        <v>1069680</v>
      </c>
      <c r="F1129" s="451">
        <v>1054732.6000000001</v>
      </c>
      <c r="G1129" s="459">
        <f t="shared" si="17"/>
        <v>98.602628823573411</v>
      </c>
    </row>
    <row r="1130" spans="1:7" ht="25.5">
      <c r="A1130" s="241" t="s">
        <v>1327</v>
      </c>
      <c r="B1130" s="242" t="s">
        <v>1217</v>
      </c>
      <c r="C1130" s="242" t="s">
        <v>1328</v>
      </c>
      <c r="D1130" s="242"/>
      <c r="E1130" s="453">
        <v>1069680</v>
      </c>
      <c r="F1130" s="451">
        <v>1054732.6000000001</v>
      </c>
      <c r="G1130" s="459">
        <f t="shared" si="17"/>
        <v>98.602628823573411</v>
      </c>
    </row>
    <row r="1131" spans="1:7">
      <c r="A1131" s="241" t="s">
        <v>1198</v>
      </c>
      <c r="B1131" s="242" t="s">
        <v>1217</v>
      </c>
      <c r="C1131" s="242" t="s">
        <v>1199</v>
      </c>
      <c r="D1131" s="242"/>
      <c r="E1131" s="453">
        <v>1069680</v>
      </c>
      <c r="F1131" s="451">
        <v>1054732.6000000001</v>
      </c>
      <c r="G1131" s="459">
        <f t="shared" si="17"/>
        <v>98.602628823573411</v>
      </c>
    </row>
    <row r="1132" spans="1:7">
      <c r="A1132" s="241" t="s">
        <v>140</v>
      </c>
      <c r="B1132" s="242" t="s">
        <v>1217</v>
      </c>
      <c r="C1132" s="242" t="s">
        <v>1199</v>
      </c>
      <c r="D1132" s="242" t="s">
        <v>1142</v>
      </c>
      <c r="E1132" s="453">
        <v>1069680</v>
      </c>
      <c r="F1132" s="451">
        <v>1054732.6000000001</v>
      </c>
      <c r="G1132" s="459">
        <f t="shared" si="17"/>
        <v>98.602628823573411</v>
      </c>
    </row>
    <row r="1133" spans="1:7">
      <c r="A1133" s="241" t="s">
        <v>1075</v>
      </c>
      <c r="B1133" s="242" t="s">
        <v>1217</v>
      </c>
      <c r="C1133" s="242" t="s">
        <v>1199</v>
      </c>
      <c r="D1133" s="242" t="s">
        <v>365</v>
      </c>
      <c r="E1133" s="453">
        <v>1069680</v>
      </c>
      <c r="F1133" s="451">
        <v>1054732.6000000001</v>
      </c>
      <c r="G1133" s="459">
        <f t="shared" si="17"/>
        <v>98.602628823573411</v>
      </c>
    </row>
    <row r="1134" spans="1:7" ht="76.5">
      <c r="A1134" s="241" t="s">
        <v>1629</v>
      </c>
      <c r="B1134" s="242" t="s">
        <v>1630</v>
      </c>
      <c r="C1134" s="242"/>
      <c r="D1134" s="242"/>
      <c r="E1134" s="453">
        <v>62058.41</v>
      </c>
      <c r="F1134" s="451">
        <v>62058.41</v>
      </c>
      <c r="G1134" s="459">
        <f t="shared" si="17"/>
        <v>100</v>
      </c>
    </row>
    <row r="1135" spans="1:7" ht="25.5">
      <c r="A1135" s="241" t="s">
        <v>1327</v>
      </c>
      <c r="B1135" s="242" t="s">
        <v>1630</v>
      </c>
      <c r="C1135" s="242" t="s">
        <v>1328</v>
      </c>
      <c r="D1135" s="242"/>
      <c r="E1135" s="453">
        <v>62058.41</v>
      </c>
      <c r="F1135" s="451">
        <v>62058.41</v>
      </c>
      <c r="G1135" s="459">
        <f t="shared" si="17"/>
        <v>100</v>
      </c>
    </row>
    <row r="1136" spans="1:7">
      <c r="A1136" s="241" t="s">
        <v>1198</v>
      </c>
      <c r="B1136" s="242" t="s">
        <v>1630</v>
      </c>
      <c r="C1136" s="242" t="s">
        <v>1199</v>
      </c>
      <c r="D1136" s="242"/>
      <c r="E1136" s="453">
        <v>62058.41</v>
      </c>
      <c r="F1136" s="451">
        <v>62058.41</v>
      </c>
      <c r="G1136" s="459">
        <f t="shared" si="17"/>
        <v>100</v>
      </c>
    </row>
    <row r="1137" spans="1:7">
      <c r="A1137" s="241" t="s">
        <v>140</v>
      </c>
      <c r="B1137" s="242" t="s">
        <v>1630</v>
      </c>
      <c r="C1137" s="242" t="s">
        <v>1199</v>
      </c>
      <c r="D1137" s="242" t="s">
        <v>1142</v>
      </c>
      <c r="E1137" s="453">
        <v>62058.41</v>
      </c>
      <c r="F1137" s="451">
        <v>62058.41</v>
      </c>
      <c r="G1137" s="459">
        <f t="shared" si="17"/>
        <v>100</v>
      </c>
    </row>
    <row r="1138" spans="1:7">
      <c r="A1138" s="241" t="s">
        <v>1075</v>
      </c>
      <c r="B1138" s="242" t="s">
        <v>1630</v>
      </c>
      <c r="C1138" s="242" t="s">
        <v>1199</v>
      </c>
      <c r="D1138" s="242" t="s">
        <v>365</v>
      </c>
      <c r="E1138" s="453">
        <v>62058.41</v>
      </c>
      <c r="F1138" s="451">
        <v>62058.41</v>
      </c>
      <c r="G1138" s="459">
        <f t="shared" si="17"/>
        <v>100</v>
      </c>
    </row>
    <row r="1139" spans="1:7" ht="63.75">
      <c r="A1139" s="241" t="s">
        <v>1218</v>
      </c>
      <c r="B1139" s="242" t="s">
        <v>1219</v>
      </c>
      <c r="C1139" s="242"/>
      <c r="D1139" s="242"/>
      <c r="E1139" s="453">
        <v>92261.59</v>
      </c>
      <c r="F1139" s="451">
        <v>45020</v>
      </c>
      <c r="G1139" s="459">
        <f t="shared" si="17"/>
        <v>48.796037440932899</v>
      </c>
    </row>
    <row r="1140" spans="1:7" ht="25.5">
      <c r="A1140" s="241" t="s">
        <v>1327</v>
      </c>
      <c r="B1140" s="242" t="s">
        <v>1219</v>
      </c>
      <c r="C1140" s="242" t="s">
        <v>1328</v>
      </c>
      <c r="D1140" s="242"/>
      <c r="E1140" s="453">
        <v>92261.59</v>
      </c>
      <c r="F1140" s="451">
        <v>45020</v>
      </c>
      <c r="G1140" s="459">
        <f t="shared" si="17"/>
        <v>48.796037440932899</v>
      </c>
    </row>
    <row r="1141" spans="1:7">
      <c r="A1141" s="241" t="s">
        <v>1198</v>
      </c>
      <c r="B1141" s="242" t="s">
        <v>1219</v>
      </c>
      <c r="C1141" s="242" t="s">
        <v>1199</v>
      </c>
      <c r="D1141" s="242"/>
      <c r="E1141" s="453">
        <v>92261.59</v>
      </c>
      <c r="F1141" s="451">
        <v>45020</v>
      </c>
      <c r="G1141" s="459">
        <f t="shared" si="17"/>
        <v>48.796037440932899</v>
      </c>
    </row>
    <row r="1142" spans="1:7">
      <c r="A1142" s="241" t="s">
        <v>140</v>
      </c>
      <c r="B1142" s="242" t="s">
        <v>1219</v>
      </c>
      <c r="C1142" s="242" t="s">
        <v>1199</v>
      </c>
      <c r="D1142" s="242" t="s">
        <v>1142</v>
      </c>
      <c r="E1142" s="453">
        <v>92261.59</v>
      </c>
      <c r="F1142" s="451">
        <v>45020</v>
      </c>
      <c r="G1142" s="459">
        <f t="shared" si="17"/>
        <v>48.796037440932899</v>
      </c>
    </row>
    <row r="1143" spans="1:7">
      <c r="A1143" s="241" t="s">
        <v>1075</v>
      </c>
      <c r="B1143" s="242" t="s">
        <v>1219</v>
      </c>
      <c r="C1143" s="242" t="s">
        <v>1199</v>
      </c>
      <c r="D1143" s="242" t="s">
        <v>365</v>
      </c>
      <c r="E1143" s="453">
        <v>92261.59</v>
      </c>
      <c r="F1143" s="451">
        <v>45020</v>
      </c>
      <c r="G1143" s="459">
        <f t="shared" si="17"/>
        <v>48.796037440932899</v>
      </c>
    </row>
    <row r="1144" spans="1:7" ht="63.75">
      <c r="A1144" s="241" t="s">
        <v>370</v>
      </c>
      <c r="B1144" s="242" t="s">
        <v>1349</v>
      </c>
      <c r="C1144" s="242"/>
      <c r="D1144" s="242"/>
      <c r="E1144" s="453">
        <v>437000</v>
      </c>
      <c r="F1144" s="451">
        <v>408950</v>
      </c>
      <c r="G1144" s="459">
        <f t="shared" si="17"/>
        <v>93.5812356979405</v>
      </c>
    </row>
    <row r="1145" spans="1:7" ht="25.5">
      <c r="A1145" s="241" t="s">
        <v>1327</v>
      </c>
      <c r="B1145" s="242" t="s">
        <v>1349</v>
      </c>
      <c r="C1145" s="242" t="s">
        <v>1328</v>
      </c>
      <c r="D1145" s="242"/>
      <c r="E1145" s="453">
        <v>437000</v>
      </c>
      <c r="F1145" s="451">
        <v>408950</v>
      </c>
      <c r="G1145" s="459">
        <f t="shared" si="17"/>
        <v>93.5812356979405</v>
      </c>
    </row>
    <row r="1146" spans="1:7">
      <c r="A1146" s="241" t="s">
        <v>1198</v>
      </c>
      <c r="B1146" s="242" t="s">
        <v>1349</v>
      </c>
      <c r="C1146" s="242" t="s">
        <v>1199</v>
      </c>
      <c r="D1146" s="242"/>
      <c r="E1146" s="453">
        <v>437000</v>
      </c>
      <c r="F1146" s="451">
        <v>408950</v>
      </c>
      <c r="G1146" s="459">
        <f t="shared" si="17"/>
        <v>93.5812356979405</v>
      </c>
    </row>
    <row r="1147" spans="1:7">
      <c r="A1147" s="241" t="s">
        <v>140</v>
      </c>
      <c r="B1147" s="242" t="s">
        <v>1349</v>
      </c>
      <c r="C1147" s="242" t="s">
        <v>1199</v>
      </c>
      <c r="D1147" s="242" t="s">
        <v>1142</v>
      </c>
      <c r="E1147" s="453">
        <v>437000</v>
      </c>
      <c r="F1147" s="451">
        <v>408950</v>
      </c>
      <c r="G1147" s="459">
        <f t="shared" si="17"/>
        <v>93.5812356979405</v>
      </c>
    </row>
    <row r="1148" spans="1:7">
      <c r="A1148" s="241" t="s">
        <v>1075</v>
      </c>
      <c r="B1148" s="242" t="s">
        <v>1349</v>
      </c>
      <c r="C1148" s="242" t="s">
        <v>1199</v>
      </c>
      <c r="D1148" s="242" t="s">
        <v>365</v>
      </c>
      <c r="E1148" s="453">
        <v>437000</v>
      </c>
      <c r="F1148" s="451">
        <v>408950</v>
      </c>
      <c r="G1148" s="459">
        <f t="shared" si="17"/>
        <v>93.5812356979405</v>
      </c>
    </row>
    <row r="1149" spans="1:7" ht="89.25">
      <c r="A1149" s="241" t="s">
        <v>2145</v>
      </c>
      <c r="B1149" s="242" t="s">
        <v>2146</v>
      </c>
      <c r="C1149" s="242"/>
      <c r="D1149" s="242"/>
      <c r="E1149" s="453">
        <v>350000</v>
      </c>
      <c r="F1149" s="451">
        <v>316440</v>
      </c>
      <c r="G1149" s="459">
        <f t="shared" si="17"/>
        <v>90.411428571428573</v>
      </c>
    </row>
    <row r="1150" spans="1:7" ht="25.5">
      <c r="A1150" s="241" t="s">
        <v>1327</v>
      </c>
      <c r="B1150" s="242" t="s">
        <v>2146</v>
      </c>
      <c r="C1150" s="242" t="s">
        <v>1328</v>
      </c>
      <c r="D1150" s="242"/>
      <c r="E1150" s="453">
        <v>350000</v>
      </c>
      <c r="F1150" s="451">
        <v>316440</v>
      </c>
      <c r="G1150" s="459">
        <f t="shared" si="17"/>
        <v>90.411428571428573</v>
      </c>
    </row>
    <row r="1151" spans="1:7">
      <c r="A1151" s="241" t="s">
        <v>1198</v>
      </c>
      <c r="B1151" s="242" t="s">
        <v>2146</v>
      </c>
      <c r="C1151" s="242" t="s">
        <v>1199</v>
      </c>
      <c r="D1151" s="242"/>
      <c r="E1151" s="453">
        <v>350000</v>
      </c>
      <c r="F1151" s="451">
        <v>316440</v>
      </c>
      <c r="G1151" s="459">
        <f t="shared" si="17"/>
        <v>90.411428571428573</v>
      </c>
    </row>
    <row r="1152" spans="1:7">
      <c r="A1152" s="241" t="s">
        <v>140</v>
      </c>
      <c r="B1152" s="242" t="s">
        <v>2146</v>
      </c>
      <c r="C1152" s="242" t="s">
        <v>1199</v>
      </c>
      <c r="D1152" s="242" t="s">
        <v>1142</v>
      </c>
      <c r="E1152" s="453">
        <v>350000</v>
      </c>
      <c r="F1152" s="451">
        <v>316440</v>
      </c>
      <c r="G1152" s="459">
        <f t="shared" si="17"/>
        <v>90.411428571428573</v>
      </c>
    </row>
    <row r="1153" spans="1:7">
      <c r="A1153" s="241" t="s">
        <v>1075</v>
      </c>
      <c r="B1153" s="242" t="s">
        <v>2146</v>
      </c>
      <c r="C1153" s="242" t="s">
        <v>1199</v>
      </c>
      <c r="D1153" s="242" t="s">
        <v>365</v>
      </c>
      <c r="E1153" s="453">
        <v>350000</v>
      </c>
      <c r="F1153" s="451">
        <v>316440</v>
      </c>
      <c r="G1153" s="459">
        <f t="shared" si="17"/>
        <v>90.411428571428573</v>
      </c>
    </row>
    <row r="1154" spans="1:7" ht="25.5">
      <c r="A1154" s="241" t="s">
        <v>1955</v>
      </c>
      <c r="B1154" s="242" t="s">
        <v>1956</v>
      </c>
      <c r="C1154" s="242"/>
      <c r="D1154" s="242"/>
      <c r="E1154" s="453">
        <v>150725</v>
      </c>
      <c r="F1154" s="451">
        <v>80150</v>
      </c>
      <c r="G1154" s="459">
        <f t="shared" si="17"/>
        <v>53.176314480013268</v>
      </c>
    </row>
    <row r="1155" spans="1:7" ht="76.5">
      <c r="A1155" s="241" t="s">
        <v>1957</v>
      </c>
      <c r="B1155" s="242" t="s">
        <v>1958</v>
      </c>
      <c r="C1155" s="242"/>
      <c r="D1155" s="242"/>
      <c r="E1155" s="453">
        <v>45500</v>
      </c>
      <c r="F1155" s="451">
        <v>45500</v>
      </c>
      <c r="G1155" s="459">
        <f t="shared" si="17"/>
        <v>100</v>
      </c>
    </row>
    <row r="1156" spans="1:7" ht="25.5">
      <c r="A1156" s="241" t="s">
        <v>1327</v>
      </c>
      <c r="B1156" s="242" t="s">
        <v>1958</v>
      </c>
      <c r="C1156" s="242" t="s">
        <v>1328</v>
      </c>
      <c r="D1156" s="242"/>
      <c r="E1156" s="453">
        <v>45500</v>
      </c>
      <c r="F1156" s="451">
        <v>45500</v>
      </c>
      <c r="G1156" s="459">
        <f t="shared" si="17"/>
        <v>100</v>
      </c>
    </row>
    <row r="1157" spans="1:7">
      <c r="A1157" s="241" t="s">
        <v>1198</v>
      </c>
      <c r="B1157" s="242" t="s">
        <v>1958</v>
      </c>
      <c r="C1157" s="242" t="s">
        <v>1199</v>
      </c>
      <c r="D1157" s="242"/>
      <c r="E1157" s="453">
        <v>45500</v>
      </c>
      <c r="F1157" s="451">
        <v>45500</v>
      </c>
      <c r="G1157" s="459">
        <f t="shared" si="17"/>
        <v>100</v>
      </c>
    </row>
    <row r="1158" spans="1:7">
      <c r="A1158" s="241" t="s">
        <v>140</v>
      </c>
      <c r="B1158" s="242" t="s">
        <v>1958</v>
      </c>
      <c r="C1158" s="242" t="s">
        <v>1199</v>
      </c>
      <c r="D1158" s="242" t="s">
        <v>1142</v>
      </c>
      <c r="E1158" s="453">
        <v>45500</v>
      </c>
      <c r="F1158" s="451">
        <v>45500</v>
      </c>
      <c r="G1158" s="459">
        <f t="shared" si="17"/>
        <v>100</v>
      </c>
    </row>
    <row r="1159" spans="1:7">
      <c r="A1159" s="241" t="s">
        <v>1075</v>
      </c>
      <c r="B1159" s="242" t="s">
        <v>1958</v>
      </c>
      <c r="C1159" s="242" t="s">
        <v>1199</v>
      </c>
      <c r="D1159" s="242" t="s">
        <v>365</v>
      </c>
      <c r="E1159" s="453">
        <v>45500</v>
      </c>
      <c r="F1159" s="451">
        <v>45500</v>
      </c>
      <c r="G1159" s="459">
        <f t="shared" ref="G1159:G1222" si="18">F1159/E1159*100</f>
        <v>100</v>
      </c>
    </row>
    <row r="1160" spans="1:7" ht="63.75">
      <c r="A1160" s="241" t="s">
        <v>1959</v>
      </c>
      <c r="B1160" s="242" t="s">
        <v>1960</v>
      </c>
      <c r="C1160" s="242"/>
      <c r="D1160" s="242"/>
      <c r="E1160" s="453">
        <v>30000</v>
      </c>
      <c r="F1160" s="451">
        <v>30000</v>
      </c>
      <c r="G1160" s="459">
        <f t="shared" si="18"/>
        <v>100</v>
      </c>
    </row>
    <row r="1161" spans="1:7" ht="25.5">
      <c r="A1161" s="241" t="s">
        <v>1327</v>
      </c>
      <c r="B1161" s="242" t="s">
        <v>1960</v>
      </c>
      <c r="C1161" s="242" t="s">
        <v>1328</v>
      </c>
      <c r="D1161" s="242"/>
      <c r="E1161" s="453">
        <v>30000</v>
      </c>
      <c r="F1161" s="451">
        <v>30000</v>
      </c>
      <c r="G1161" s="459">
        <f t="shared" si="18"/>
        <v>100</v>
      </c>
    </row>
    <row r="1162" spans="1:7">
      <c r="A1162" s="241" t="s">
        <v>1198</v>
      </c>
      <c r="B1162" s="242" t="s">
        <v>1960</v>
      </c>
      <c r="C1162" s="242" t="s">
        <v>1199</v>
      </c>
      <c r="D1162" s="242"/>
      <c r="E1162" s="453">
        <v>30000</v>
      </c>
      <c r="F1162" s="451">
        <v>30000</v>
      </c>
      <c r="G1162" s="459">
        <f t="shared" si="18"/>
        <v>100</v>
      </c>
    </row>
    <row r="1163" spans="1:7">
      <c r="A1163" s="241" t="s">
        <v>140</v>
      </c>
      <c r="B1163" s="242" t="s">
        <v>1960</v>
      </c>
      <c r="C1163" s="242" t="s">
        <v>1199</v>
      </c>
      <c r="D1163" s="242" t="s">
        <v>1142</v>
      </c>
      <c r="E1163" s="453">
        <v>30000</v>
      </c>
      <c r="F1163" s="451">
        <v>30000</v>
      </c>
      <c r="G1163" s="459">
        <f t="shared" si="18"/>
        <v>100</v>
      </c>
    </row>
    <row r="1164" spans="1:7">
      <c r="A1164" s="241" t="s">
        <v>1075</v>
      </c>
      <c r="B1164" s="242" t="s">
        <v>1960</v>
      </c>
      <c r="C1164" s="242" t="s">
        <v>1199</v>
      </c>
      <c r="D1164" s="242" t="s">
        <v>365</v>
      </c>
      <c r="E1164" s="453">
        <v>30000</v>
      </c>
      <c r="F1164" s="451">
        <v>30000</v>
      </c>
      <c r="G1164" s="459">
        <f t="shared" si="18"/>
        <v>100</v>
      </c>
    </row>
    <row r="1165" spans="1:7" ht="63.75">
      <c r="A1165" s="241" t="s">
        <v>2147</v>
      </c>
      <c r="B1165" s="242" t="s">
        <v>2148</v>
      </c>
      <c r="C1165" s="242"/>
      <c r="D1165" s="242"/>
      <c r="E1165" s="453">
        <v>75225</v>
      </c>
      <c r="F1165" s="451">
        <v>4650</v>
      </c>
      <c r="G1165" s="459">
        <f t="shared" si="18"/>
        <v>6.1814556331006978</v>
      </c>
    </row>
    <row r="1166" spans="1:7" ht="25.5">
      <c r="A1166" s="241" t="s">
        <v>1327</v>
      </c>
      <c r="B1166" s="242" t="s">
        <v>2148</v>
      </c>
      <c r="C1166" s="242" t="s">
        <v>1328</v>
      </c>
      <c r="D1166" s="242"/>
      <c r="E1166" s="453">
        <v>75225</v>
      </c>
      <c r="F1166" s="451">
        <v>4650</v>
      </c>
      <c r="G1166" s="459">
        <f t="shared" si="18"/>
        <v>6.1814556331006978</v>
      </c>
    </row>
    <row r="1167" spans="1:7">
      <c r="A1167" s="241" t="s">
        <v>1198</v>
      </c>
      <c r="B1167" s="242" t="s">
        <v>2148</v>
      </c>
      <c r="C1167" s="242" t="s">
        <v>1199</v>
      </c>
      <c r="D1167" s="242"/>
      <c r="E1167" s="453">
        <v>75225</v>
      </c>
      <c r="F1167" s="451">
        <v>4650</v>
      </c>
      <c r="G1167" s="459">
        <f t="shared" si="18"/>
        <v>6.1814556331006978</v>
      </c>
    </row>
    <row r="1168" spans="1:7">
      <c r="A1168" s="241" t="s">
        <v>140</v>
      </c>
      <c r="B1168" s="242" t="s">
        <v>2148</v>
      </c>
      <c r="C1168" s="242" t="s">
        <v>1199</v>
      </c>
      <c r="D1168" s="242" t="s">
        <v>1142</v>
      </c>
      <c r="E1168" s="453">
        <v>75225</v>
      </c>
      <c r="F1168" s="451">
        <v>4650</v>
      </c>
      <c r="G1168" s="459">
        <f t="shared" si="18"/>
        <v>6.1814556331006978</v>
      </c>
    </row>
    <row r="1169" spans="1:7">
      <c r="A1169" s="241" t="s">
        <v>1075</v>
      </c>
      <c r="B1169" s="242" t="s">
        <v>2148</v>
      </c>
      <c r="C1169" s="242" t="s">
        <v>1199</v>
      </c>
      <c r="D1169" s="242" t="s">
        <v>365</v>
      </c>
      <c r="E1169" s="453">
        <v>75225</v>
      </c>
      <c r="F1169" s="451">
        <v>4650</v>
      </c>
      <c r="G1169" s="459">
        <f t="shared" si="18"/>
        <v>6.1814556331006978</v>
      </c>
    </row>
    <row r="1170" spans="1:7" ht="25.5">
      <c r="A1170" s="241" t="s">
        <v>1351</v>
      </c>
      <c r="B1170" s="242" t="s">
        <v>988</v>
      </c>
      <c r="C1170" s="242"/>
      <c r="D1170" s="242"/>
      <c r="E1170" s="453">
        <v>31636365.059999999</v>
      </c>
      <c r="F1170" s="451">
        <v>30832128.670000002</v>
      </c>
      <c r="G1170" s="459">
        <f t="shared" si="18"/>
        <v>97.457873594280755</v>
      </c>
    </row>
    <row r="1171" spans="1:7" ht="25.5">
      <c r="A1171" s="241" t="s">
        <v>475</v>
      </c>
      <c r="B1171" s="242" t="s">
        <v>989</v>
      </c>
      <c r="C1171" s="242"/>
      <c r="D1171" s="242"/>
      <c r="E1171" s="453">
        <v>31448715.059999999</v>
      </c>
      <c r="F1171" s="451">
        <v>30644478.670000002</v>
      </c>
      <c r="G1171" s="459">
        <f t="shared" si="18"/>
        <v>97.442705088377636</v>
      </c>
    </row>
    <row r="1172" spans="1:7" ht="127.5">
      <c r="A1172" s="241" t="s">
        <v>2078</v>
      </c>
      <c r="B1172" s="242" t="s">
        <v>2079</v>
      </c>
      <c r="C1172" s="242"/>
      <c r="D1172" s="242"/>
      <c r="E1172" s="453">
        <v>800000</v>
      </c>
      <c r="F1172" s="451">
        <v>800000</v>
      </c>
      <c r="G1172" s="459">
        <f t="shared" si="18"/>
        <v>100</v>
      </c>
    </row>
    <row r="1173" spans="1:7" ht="25.5">
      <c r="A1173" s="241" t="s">
        <v>1327</v>
      </c>
      <c r="B1173" s="242" t="s">
        <v>2079</v>
      </c>
      <c r="C1173" s="242" t="s">
        <v>1328</v>
      </c>
      <c r="D1173" s="242"/>
      <c r="E1173" s="453">
        <v>800000</v>
      </c>
      <c r="F1173" s="451">
        <v>800000</v>
      </c>
      <c r="G1173" s="459">
        <f t="shared" si="18"/>
        <v>100</v>
      </c>
    </row>
    <row r="1174" spans="1:7">
      <c r="A1174" s="241" t="s">
        <v>1198</v>
      </c>
      <c r="B1174" s="242" t="s">
        <v>2079</v>
      </c>
      <c r="C1174" s="242" t="s">
        <v>1199</v>
      </c>
      <c r="D1174" s="242"/>
      <c r="E1174" s="453">
        <v>800000</v>
      </c>
      <c r="F1174" s="451">
        <v>800000</v>
      </c>
      <c r="G1174" s="459">
        <f t="shared" si="18"/>
        <v>100</v>
      </c>
    </row>
    <row r="1175" spans="1:7">
      <c r="A1175" s="241" t="s">
        <v>248</v>
      </c>
      <c r="B1175" s="242" t="s">
        <v>2079</v>
      </c>
      <c r="C1175" s="242" t="s">
        <v>1199</v>
      </c>
      <c r="D1175" s="242" t="s">
        <v>1144</v>
      </c>
      <c r="E1175" s="453">
        <v>800000</v>
      </c>
      <c r="F1175" s="451">
        <v>800000</v>
      </c>
      <c r="G1175" s="459">
        <f t="shared" si="18"/>
        <v>100</v>
      </c>
    </row>
    <row r="1176" spans="1:7">
      <c r="A1176" s="241" t="s">
        <v>1228</v>
      </c>
      <c r="B1176" s="242" t="s">
        <v>2079</v>
      </c>
      <c r="C1176" s="242" t="s">
        <v>1199</v>
      </c>
      <c r="D1176" s="242" t="s">
        <v>1229</v>
      </c>
      <c r="E1176" s="453">
        <v>800000</v>
      </c>
      <c r="F1176" s="451">
        <v>800000</v>
      </c>
      <c r="G1176" s="459">
        <f t="shared" si="18"/>
        <v>100</v>
      </c>
    </row>
    <row r="1177" spans="1:7" ht="89.25">
      <c r="A1177" s="241" t="s">
        <v>2080</v>
      </c>
      <c r="B1177" s="242" t="s">
        <v>2081</v>
      </c>
      <c r="C1177" s="242"/>
      <c r="D1177" s="242"/>
      <c r="E1177" s="453">
        <v>840421</v>
      </c>
      <c r="F1177" s="451">
        <v>840421</v>
      </c>
      <c r="G1177" s="459">
        <f t="shared" si="18"/>
        <v>100</v>
      </c>
    </row>
    <row r="1178" spans="1:7" ht="25.5">
      <c r="A1178" s="241" t="s">
        <v>1327</v>
      </c>
      <c r="B1178" s="242" t="s">
        <v>2081</v>
      </c>
      <c r="C1178" s="242" t="s">
        <v>1328</v>
      </c>
      <c r="D1178" s="242"/>
      <c r="E1178" s="453">
        <v>840421</v>
      </c>
      <c r="F1178" s="451">
        <v>840421</v>
      </c>
      <c r="G1178" s="459">
        <f t="shared" si="18"/>
        <v>100</v>
      </c>
    </row>
    <row r="1179" spans="1:7">
      <c r="A1179" s="241" t="s">
        <v>1198</v>
      </c>
      <c r="B1179" s="242" t="s">
        <v>2081</v>
      </c>
      <c r="C1179" s="242" t="s">
        <v>1199</v>
      </c>
      <c r="D1179" s="242"/>
      <c r="E1179" s="453">
        <v>840421</v>
      </c>
      <c r="F1179" s="451">
        <v>840421</v>
      </c>
      <c r="G1179" s="459">
        <f t="shared" si="18"/>
        <v>100</v>
      </c>
    </row>
    <row r="1180" spans="1:7">
      <c r="A1180" s="241" t="s">
        <v>248</v>
      </c>
      <c r="B1180" s="242" t="s">
        <v>2081</v>
      </c>
      <c r="C1180" s="242" t="s">
        <v>1199</v>
      </c>
      <c r="D1180" s="242" t="s">
        <v>1144</v>
      </c>
      <c r="E1180" s="453">
        <v>840421</v>
      </c>
      <c r="F1180" s="451">
        <v>840421</v>
      </c>
      <c r="G1180" s="459">
        <f t="shared" si="18"/>
        <v>100</v>
      </c>
    </row>
    <row r="1181" spans="1:7">
      <c r="A1181" s="241" t="s">
        <v>1228</v>
      </c>
      <c r="B1181" s="242" t="s">
        <v>2081</v>
      </c>
      <c r="C1181" s="242" t="s">
        <v>1199</v>
      </c>
      <c r="D1181" s="242" t="s">
        <v>1229</v>
      </c>
      <c r="E1181" s="453">
        <v>840421</v>
      </c>
      <c r="F1181" s="451">
        <v>840421</v>
      </c>
      <c r="G1181" s="459">
        <f t="shared" si="18"/>
        <v>100</v>
      </c>
    </row>
    <row r="1182" spans="1:7" ht="102">
      <c r="A1182" s="241" t="s">
        <v>1176</v>
      </c>
      <c r="B1182" s="242" t="s">
        <v>1177</v>
      </c>
      <c r="C1182" s="242"/>
      <c r="D1182" s="242"/>
      <c r="E1182" s="453">
        <v>10474224.029999999</v>
      </c>
      <c r="F1182" s="451">
        <v>10474224.029999999</v>
      </c>
      <c r="G1182" s="459">
        <f t="shared" si="18"/>
        <v>100</v>
      </c>
    </row>
    <row r="1183" spans="1:7" ht="25.5">
      <c r="A1183" s="241" t="s">
        <v>1327</v>
      </c>
      <c r="B1183" s="242" t="s">
        <v>1177</v>
      </c>
      <c r="C1183" s="242" t="s">
        <v>1328</v>
      </c>
      <c r="D1183" s="242"/>
      <c r="E1183" s="453">
        <v>10474224.029999999</v>
      </c>
      <c r="F1183" s="451">
        <v>10474224.029999999</v>
      </c>
      <c r="G1183" s="459">
        <f t="shared" si="18"/>
        <v>100</v>
      </c>
    </row>
    <row r="1184" spans="1:7">
      <c r="A1184" s="241" t="s">
        <v>1198</v>
      </c>
      <c r="B1184" s="242" t="s">
        <v>1177</v>
      </c>
      <c r="C1184" s="242" t="s">
        <v>1199</v>
      </c>
      <c r="D1184" s="242"/>
      <c r="E1184" s="453">
        <v>10474224.029999999</v>
      </c>
      <c r="F1184" s="451">
        <v>10474224.029999999</v>
      </c>
      <c r="G1184" s="459">
        <f t="shared" si="18"/>
        <v>100</v>
      </c>
    </row>
    <row r="1185" spans="1:7">
      <c r="A1185" s="241" t="s">
        <v>248</v>
      </c>
      <c r="B1185" s="242" t="s">
        <v>1177</v>
      </c>
      <c r="C1185" s="242" t="s">
        <v>1199</v>
      </c>
      <c r="D1185" s="242" t="s">
        <v>1144</v>
      </c>
      <c r="E1185" s="453">
        <v>10474224.029999999</v>
      </c>
      <c r="F1185" s="451">
        <v>10474224.029999999</v>
      </c>
      <c r="G1185" s="459">
        <f t="shared" si="18"/>
        <v>100</v>
      </c>
    </row>
    <row r="1186" spans="1:7">
      <c r="A1186" s="241" t="s">
        <v>1228</v>
      </c>
      <c r="B1186" s="242" t="s">
        <v>1177</v>
      </c>
      <c r="C1186" s="242" t="s">
        <v>1199</v>
      </c>
      <c r="D1186" s="242" t="s">
        <v>1229</v>
      </c>
      <c r="E1186" s="453">
        <v>10474224.029999999</v>
      </c>
      <c r="F1186" s="451">
        <v>10474224.029999999</v>
      </c>
      <c r="G1186" s="459">
        <f t="shared" si="18"/>
        <v>100</v>
      </c>
    </row>
    <row r="1187" spans="1:7" ht="127.5">
      <c r="A1187" s="241" t="s">
        <v>1178</v>
      </c>
      <c r="B1187" s="242" t="s">
        <v>1179</v>
      </c>
      <c r="C1187" s="242"/>
      <c r="D1187" s="242"/>
      <c r="E1187" s="453">
        <v>2982040</v>
      </c>
      <c r="F1187" s="451">
        <v>2982040</v>
      </c>
      <c r="G1187" s="459">
        <f t="shared" si="18"/>
        <v>100</v>
      </c>
    </row>
    <row r="1188" spans="1:7" ht="25.5">
      <c r="A1188" s="241" t="s">
        <v>1327</v>
      </c>
      <c r="B1188" s="242" t="s">
        <v>1179</v>
      </c>
      <c r="C1188" s="242" t="s">
        <v>1328</v>
      </c>
      <c r="D1188" s="242"/>
      <c r="E1188" s="453">
        <v>2982040</v>
      </c>
      <c r="F1188" s="451">
        <v>2982040</v>
      </c>
      <c r="G1188" s="459">
        <f t="shared" si="18"/>
        <v>100</v>
      </c>
    </row>
    <row r="1189" spans="1:7">
      <c r="A1189" s="241" t="s">
        <v>1198</v>
      </c>
      <c r="B1189" s="242" t="s">
        <v>1179</v>
      </c>
      <c r="C1189" s="242" t="s">
        <v>1199</v>
      </c>
      <c r="D1189" s="242"/>
      <c r="E1189" s="453">
        <v>2982040</v>
      </c>
      <c r="F1189" s="451">
        <v>2982040</v>
      </c>
      <c r="G1189" s="459">
        <f t="shared" si="18"/>
        <v>100</v>
      </c>
    </row>
    <row r="1190" spans="1:7">
      <c r="A1190" s="241" t="s">
        <v>248</v>
      </c>
      <c r="B1190" s="242" t="s">
        <v>1179</v>
      </c>
      <c r="C1190" s="242" t="s">
        <v>1199</v>
      </c>
      <c r="D1190" s="242" t="s">
        <v>1144</v>
      </c>
      <c r="E1190" s="453">
        <v>2982040</v>
      </c>
      <c r="F1190" s="451">
        <v>2982040</v>
      </c>
      <c r="G1190" s="459">
        <f t="shared" si="18"/>
        <v>100</v>
      </c>
    </row>
    <row r="1191" spans="1:7">
      <c r="A1191" s="241" t="s">
        <v>1228</v>
      </c>
      <c r="B1191" s="242" t="s">
        <v>1179</v>
      </c>
      <c r="C1191" s="242" t="s">
        <v>1199</v>
      </c>
      <c r="D1191" s="242" t="s">
        <v>1229</v>
      </c>
      <c r="E1191" s="453">
        <v>2982040</v>
      </c>
      <c r="F1191" s="451">
        <v>2982040</v>
      </c>
      <c r="G1191" s="459">
        <f t="shared" si="18"/>
        <v>100</v>
      </c>
    </row>
    <row r="1192" spans="1:7" ht="89.25">
      <c r="A1192" s="241" t="s">
        <v>1180</v>
      </c>
      <c r="B1192" s="242" t="s">
        <v>1181</v>
      </c>
      <c r="C1192" s="242"/>
      <c r="D1192" s="242"/>
      <c r="E1192" s="453">
        <v>9784.24</v>
      </c>
      <c r="F1192" s="451">
        <v>9784.24</v>
      </c>
      <c r="G1192" s="459">
        <f t="shared" si="18"/>
        <v>100</v>
      </c>
    </row>
    <row r="1193" spans="1:7" ht="25.5">
      <c r="A1193" s="241" t="s">
        <v>1327</v>
      </c>
      <c r="B1193" s="242" t="s">
        <v>1181</v>
      </c>
      <c r="C1193" s="242" t="s">
        <v>1328</v>
      </c>
      <c r="D1193" s="242"/>
      <c r="E1193" s="453">
        <v>9784.24</v>
      </c>
      <c r="F1193" s="451">
        <v>9784.24</v>
      </c>
      <c r="G1193" s="459">
        <f t="shared" si="18"/>
        <v>100</v>
      </c>
    </row>
    <row r="1194" spans="1:7">
      <c r="A1194" s="241" t="s">
        <v>1198</v>
      </c>
      <c r="B1194" s="242" t="s">
        <v>1181</v>
      </c>
      <c r="C1194" s="242" t="s">
        <v>1199</v>
      </c>
      <c r="D1194" s="242"/>
      <c r="E1194" s="453">
        <v>9784.24</v>
      </c>
      <c r="F1194" s="451">
        <v>9784.24</v>
      </c>
      <c r="G1194" s="459">
        <f t="shared" si="18"/>
        <v>100</v>
      </c>
    </row>
    <row r="1195" spans="1:7">
      <c r="A1195" s="241" t="s">
        <v>248</v>
      </c>
      <c r="B1195" s="242" t="s">
        <v>1181</v>
      </c>
      <c r="C1195" s="242" t="s">
        <v>1199</v>
      </c>
      <c r="D1195" s="242" t="s">
        <v>1144</v>
      </c>
      <c r="E1195" s="453">
        <v>9784.24</v>
      </c>
      <c r="F1195" s="451">
        <v>9784.24</v>
      </c>
      <c r="G1195" s="459">
        <f t="shared" si="18"/>
        <v>100</v>
      </c>
    </row>
    <row r="1196" spans="1:7">
      <c r="A1196" s="241" t="s">
        <v>1228</v>
      </c>
      <c r="B1196" s="242" t="s">
        <v>1181</v>
      </c>
      <c r="C1196" s="242" t="s">
        <v>1199</v>
      </c>
      <c r="D1196" s="242" t="s">
        <v>1229</v>
      </c>
      <c r="E1196" s="453">
        <v>9784.24</v>
      </c>
      <c r="F1196" s="451">
        <v>9784.24</v>
      </c>
      <c r="G1196" s="459">
        <f t="shared" si="18"/>
        <v>100</v>
      </c>
    </row>
    <row r="1197" spans="1:7" ht="89.25">
      <c r="A1197" s="241" t="s">
        <v>1182</v>
      </c>
      <c r="B1197" s="242" t="s">
        <v>1183</v>
      </c>
      <c r="C1197" s="242"/>
      <c r="D1197" s="242"/>
      <c r="E1197" s="453">
        <v>2520000</v>
      </c>
      <c r="F1197" s="451">
        <v>1944344.46</v>
      </c>
      <c r="G1197" s="459">
        <f t="shared" si="18"/>
        <v>77.1565261904762</v>
      </c>
    </row>
    <row r="1198" spans="1:7" ht="25.5">
      <c r="A1198" s="241" t="s">
        <v>1327</v>
      </c>
      <c r="B1198" s="242" t="s">
        <v>1183</v>
      </c>
      <c r="C1198" s="242" t="s">
        <v>1328</v>
      </c>
      <c r="D1198" s="242"/>
      <c r="E1198" s="453">
        <v>2520000</v>
      </c>
      <c r="F1198" s="451">
        <v>1944344.46</v>
      </c>
      <c r="G1198" s="459">
        <f t="shared" si="18"/>
        <v>77.1565261904762</v>
      </c>
    </row>
    <row r="1199" spans="1:7">
      <c r="A1199" s="241" t="s">
        <v>1198</v>
      </c>
      <c r="B1199" s="242" t="s">
        <v>1183</v>
      </c>
      <c r="C1199" s="242" t="s">
        <v>1199</v>
      </c>
      <c r="D1199" s="242"/>
      <c r="E1199" s="453">
        <v>2520000</v>
      </c>
      <c r="F1199" s="451">
        <v>1944344.46</v>
      </c>
      <c r="G1199" s="459">
        <f t="shared" si="18"/>
        <v>77.1565261904762</v>
      </c>
    </row>
    <row r="1200" spans="1:7">
      <c r="A1200" s="241" t="s">
        <v>248</v>
      </c>
      <c r="B1200" s="242" t="s">
        <v>1183</v>
      </c>
      <c r="C1200" s="242" t="s">
        <v>1199</v>
      </c>
      <c r="D1200" s="242" t="s">
        <v>1144</v>
      </c>
      <c r="E1200" s="453">
        <v>2520000</v>
      </c>
      <c r="F1200" s="451">
        <v>1944344.46</v>
      </c>
      <c r="G1200" s="459">
        <f t="shared" si="18"/>
        <v>77.1565261904762</v>
      </c>
    </row>
    <row r="1201" spans="1:7">
      <c r="A1201" s="241" t="s">
        <v>1228</v>
      </c>
      <c r="B1201" s="242" t="s">
        <v>1183</v>
      </c>
      <c r="C1201" s="242" t="s">
        <v>1199</v>
      </c>
      <c r="D1201" s="242" t="s">
        <v>1229</v>
      </c>
      <c r="E1201" s="453">
        <v>2520000</v>
      </c>
      <c r="F1201" s="451">
        <v>1944344.46</v>
      </c>
      <c r="G1201" s="459">
        <f t="shared" si="18"/>
        <v>77.1565261904762</v>
      </c>
    </row>
    <row r="1202" spans="1:7" ht="102">
      <c r="A1202" s="241" t="s">
        <v>1637</v>
      </c>
      <c r="B1202" s="242" t="s">
        <v>1638</v>
      </c>
      <c r="C1202" s="242"/>
      <c r="D1202" s="242"/>
      <c r="E1202" s="453">
        <v>21000</v>
      </c>
      <c r="F1202" s="451">
        <v>14101.32</v>
      </c>
      <c r="G1202" s="459">
        <f t="shared" si="18"/>
        <v>67.149142857142849</v>
      </c>
    </row>
    <row r="1203" spans="1:7" ht="25.5">
      <c r="A1203" s="241" t="s">
        <v>1327</v>
      </c>
      <c r="B1203" s="242" t="s">
        <v>1638</v>
      </c>
      <c r="C1203" s="242" t="s">
        <v>1328</v>
      </c>
      <c r="D1203" s="242"/>
      <c r="E1203" s="453">
        <v>21000</v>
      </c>
      <c r="F1203" s="451">
        <v>14101.32</v>
      </c>
      <c r="G1203" s="459">
        <f t="shared" si="18"/>
        <v>67.149142857142849</v>
      </c>
    </row>
    <row r="1204" spans="1:7">
      <c r="A1204" s="241" t="s">
        <v>1198</v>
      </c>
      <c r="B1204" s="242" t="s">
        <v>1638</v>
      </c>
      <c r="C1204" s="242" t="s">
        <v>1199</v>
      </c>
      <c r="D1204" s="242"/>
      <c r="E1204" s="453">
        <v>21000</v>
      </c>
      <c r="F1204" s="451">
        <v>14101.32</v>
      </c>
      <c r="G1204" s="459">
        <f t="shared" si="18"/>
        <v>67.149142857142849</v>
      </c>
    </row>
    <row r="1205" spans="1:7">
      <c r="A1205" s="241" t="s">
        <v>248</v>
      </c>
      <c r="B1205" s="242" t="s">
        <v>1638</v>
      </c>
      <c r="C1205" s="242" t="s">
        <v>1199</v>
      </c>
      <c r="D1205" s="242" t="s">
        <v>1144</v>
      </c>
      <c r="E1205" s="453">
        <v>21000</v>
      </c>
      <c r="F1205" s="451">
        <v>14101.32</v>
      </c>
      <c r="G1205" s="459">
        <f t="shared" si="18"/>
        <v>67.149142857142849</v>
      </c>
    </row>
    <row r="1206" spans="1:7">
      <c r="A1206" s="241" t="s">
        <v>1228</v>
      </c>
      <c r="B1206" s="242" t="s">
        <v>1638</v>
      </c>
      <c r="C1206" s="242" t="s">
        <v>1199</v>
      </c>
      <c r="D1206" s="242" t="s">
        <v>1229</v>
      </c>
      <c r="E1206" s="453">
        <v>21000</v>
      </c>
      <c r="F1206" s="451">
        <v>14101.32</v>
      </c>
      <c r="G1206" s="459">
        <f t="shared" si="18"/>
        <v>67.149142857142849</v>
      </c>
    </row>
    <row r="1207" spans="1:7" ht="89.25">
      <c r="A1207" s="241" t="s">
        <v>1184</v>
      </c>
      <c r="B1207" s="242" t="s">
        <v>1185</v>
      </c>
      <c r="C1207" s="242"/>
      <c r="D1207" s="242"/>
      <c r="E1207" s="453">
        <v>500000</v>
      </c>
      <c r="F1207" s="451">
        <v>395077.26</v>
      </c>
      <c r="G1207" s="459">
        <f t="shared" si="18"/>
        <v>79.015451999999996</v>
      </c>
    </row>
    <row r="1208" spans="1:7" ht="25.5">
      <c r="A1208" s="241" t="s">
        <v>1327</v>
      </c>
      <c r="B1208" s="242" t="s">
        <v>1185</v>
      </c>
      <c r="C1208" s="242" t="s">
        <v>1328</v>
      </c>
      <c r="D1208" s="242"/>
      <c r="E1208" s="453">
        <v>500000</v>
      </c>
      <c r="F1208" s="451">
        <v>395077.26</v>
      </c>
      <c r="G1208" s="459">
        <f t="shared" si="18"/>
        <v>79.015451999999996</v>
      </c>
    </row>
    <row r="1209" spans="1:7">
      <c r="A1209" s="241" t="s">
        <v>1198</v>
      </c>
      <c r="B1209" s="242" t="s">
        <v>1185</v>
      </c>
      <c r="C1209" s="242" t="s">
        <v>1199</v>
      </c>
      <c r="D1209" s="242"/>
      <c r="E1209" s="453">
        <v>500000</v>
      </c>
      <c r="F1209" s="451">
        <v>395077.26</v>
      </c>
      <c r="G1209" s="459">
        <f t="shared" si="18"/>
        <v>79.015451999999996</v>
      </c>
    </row>
    <row r="1210" spans="1:7">
      <c r="A1210" s="241" t="s">
        <v>248</v>
      </c>
      <c r="B1210" s="242" t="s">
        <v>1185</v>
      </c>
      <c r="C1210" s="242" t="s">
        <v>1199</v>
      </c>
      <c r="D1210" s="242" t="s">
        <v>1144</v>
      </c>
      <c r="E1210" s="453">
        <v>500000</v>
      </c>
      <c r="F1210" s="451">
        <v>395077.26</v>
      </c>
      <c r="G1210" s="459">
        <f t="shared" si="18"/>
        <v>79.015451999999996</v>
      </c>
    </row>
    <row r="1211" spans="1:7">
      <c r="A1211" s="241" t="s">
        <v>1228</v>
      </c>
      <c r="B1211" s="242" t="s">
        <v>1185</v>
      </c>
      <c r="C1211" s="242" t="s">
        <v>1199</v>
      </c>
      <c r="D1211" s="242" t="s">
        <v>1229</v>
      </c>
      <c r="E1211" s="453">
        <v>500000</v>
      </c>
      <c r="F1211" s="451">
        <v>395077.26</v>
      </c>
      <c r="G1211" s="459">
        <f t="shared" si="18"/>
        <v>79.015451999999996</v>
      </c>
    </row>
    <row r="1212" spans="1:7" ht="76.5">
      <c r="A1212" s="241" t="s">
        <v>2164</v>
      </c>
      <c r="B1212" s="242" t="s">
        <v>2114</v>
      </c>
      <c r="C1212" s="242"/>
      <c r="D1212" s="242"/>
      <c r="E1212" s="453">
        <v>399200</v>
      </c>
      <c r="F1212" s="451">
        <v>399200</v>
      </c>
      <c r="G1212" s="459">
        <f t="shared" si="18"/>
        <v>100</v>
      </c>
    </row>
    <row r="1213" spans="1:7">
      <c r="A1213" s="241" t="s">
        <v>1329</v>
      </c>
      <c r="B1213" s="242" t="s">
        <v>2114</v>
      </c>
      <c r="C1213" s="242" t="s">
        <v>1330</v>
      </c>
      <c r="D1213" s="242"/>
      <c r="E1213" s="453">
        <v>399200</v>
      </c>
      <c r="F1213" s="451">
        <v>399200</v>
      </c>
      <c r="G1213" s="459">
        <f t="shared" si="18"/>
        <v>100</v>
      </c>
    </row>
    <row r="1214" spans="1:7">
      <c r="A1214" s="241" t="s">
        <v>68</v>
      </c>
      <c r="B1214" s="242" t="s">
        <v>2114</v>
      </c>
      <c r="C1214" s="242" t="s">
        <v>430</v>
      </c>
      <c r="D1214" s="242"/>
      <c r="E1214" s="453">
        <v>399200</v>
      </c>
      <c r="F1214" s="451">
        <v>399200</v>
      </c>
      <c r="G1214" s="459">
        <f t="shared" si="18"/>
        <v>100</v>
      </c>
    </row>
    <row r="1215" spans="1:7">
      <c r="A1215" s="241" t="s">
        <v>248</v>
      </c>
      <c r="B1215" s="242" t="s">
        <v>2114</v>
      </c>
      <c r="C1215" s="242" t="s">
        <v>430</v>
      </c>
      <c r="D1215" s="242" t="s">
        <v>1144</v>
      </c>
      <c r="E1215" s="453">
        <v>399200</v>
      </c>
      <c r="F1215" s="451">
        <v>399200</v>
      </c>
      <c r="G1215" s="459">
        <f t="shared" si="18"/>
        <v>100</v>
      </c>
    </row>
    <row r="1216" spans="1:7">
      <c r="A1216" s="241" t="s">
        <v>1228</v>
      </c>
      <c r="B1216" s="242" t="s">
        <v>2114</v>
      </c>
      <c r="C1216" s="242" t="s">
        <v>430</v>
      </c>
      <c r="D1216" s="242" t="s">
        <v>1229</v>
      </c>
      <c r="E1216" s="453">
        <v>399200</v>
      </c>
      <c r="F1216" s="451">
        <v>399200</v>
      </c>
      <c r="G1216" s="459">
        <f t="shared" si="18"/>
        <v>100</v>
      </c>
    </row>
    <row r="1217" spans="1:7" ht="102">
      <c r="A1217" s="241" t="s">
        <v>2205</v>
      </c>
      <c r="B1217" s="242" t="s">
        <v>2206</v>
      </c>
      <c r="C1217" s="242"/>
      <c r="D1217" s="242"/>
      <c r="E1217" s="453">
        <v>5504135</v>
      </c>
      <c r="F1217" s="451">
        <v>5504135</v>
      </c>
      <c r="G1217" s="459">
        <f t="shared" si="18"/>
        <v>100</v>
      </c>
    </row>
    <row r="1218" spans="1:7" ht="25.5">
      <c r="A1218" s="241" t="s">
        <v>1319</v>
      </c>
      <c r="B1218" s="242" t="s">
        <v>2206</v>
      </c>
      <c r="C1218" s="242" t="s">
        <v>1320</v>
      </c>
      <c r="D1218" s="242"/>
      <c r="E1218" s="453">
        <v>5504135</v>
      </c>
      <c r="F1218" s="451">
        <v>5504135</v>
      </c>
      <c r="G1218" s="459">
        <f t="shared" si="18"/>
        <v>100</v>
      </c>
    </row>
    <row r="1219" spans="1:7" ht="25.5">
      <c r="A1219" s="241" t="s">
        <v>1196</v>
      </c>
      <c r="B1219" s="242" t="s">
        <v>2206</v>
      </c>
      <c r="C1219" s="242" t="s">
        <v>1197</v>
      </c>
      <c r="D1219" s="242"/>
      <c r="E1219" s="453">
        <v>5504135</v>
      </c>
      <c r="F1219" s="451">
        <v>5504135</v>
      </c>
      <c r="G1219" s="459">
        <f t="shared" si="18"/>
        <v>100</v>
      </c>
    </row>
    <row r="1220" spans="1:7">
      <c r="A1220" s="241" t="s">
        <v>248</v>
      </c>
      <c r="B1220" s="242" t="s">
        <v>2206</v>
      </c>
      <c r="C1220" s="242" t="s">
        <v>1197</v>
      </c>
      <c r="D1220" s="242" t="s">
        <v>1144</v>
      </c>
      <c r="E1220" s="453">
        <v>5504135</v>
      </c>
      <c r="F1220" s="451">
        <v>5504135</v>
      </c>
      <c r="G1220" s="459">
        <f t="shared" si="18"/>
        <v>100</v>
      </c>
    </row>
    <row r="1221" spans="1:7">
      <c r="A1221" s="241" t="s">
        <v>210</v>
      </c>
      <c r="B1221" s="242" t="s">
        <v>2206</v>
      </c>
      <c r="C1221" s="242" t="s">
        <v>1197</v>
      </c>
      <c r="D1221" s="242" t="s">
        <v>381</v>
      </c>
      <c r="E1221" s="453">
        <v>5504135</v>
      </c>
      <c r="F1221" s="451">
        <v>5504135</v>
      </c>
      <c r="G1221" s="459">
        <f t="shared" si="18"/>
        <v>100</v>
      </c>
    </row>
    <row r="1222" spans="1:7" ht="63.75">
      <c r="A1222" s="241" t="s">
        <v>2157</v>
      </c>
      <c r="B1222" s="242" t="s">
        <v>2158</v>
      </c>
      <c r="C1222" s="242"/>
      <c r="D1222" s="242"/>
      <c r="E1222" s="453">
        <v>1073297.8799999999</v>
      </c>
      <c r="F1222" s="451">
        <v>956538.45</v>
      </c>
      <c r="G1222" s="459">
        <f t="shared" si="18"/>
        <v>89.121432905467032</v>
      </c>
    </row>
    <row r="1223" spans="1:7" ht="25.5">
      <c r="A1223" s="241" t="s">
        <v>1327</v>
      </c>
      <c r="B1223" s="242" t="s">
        <v>2158</v>
      </c>
      <c r="C1223" s="242" t="s">
        <v>1328</v>
      </c>
      <c r="D1223" s="242"/>
      <c r="E1223" s="453">
        <v>1073297.8799999999</v>
      </c>
      <c r="F1223" s="451">
        <v>956538.45</v>
      </c>
      <c r="G1223" s="459">
        <f t="shared" ref="G1223:G1286" si="19">F1223/E1223*100</f>
        <v>89.121432905467032</v>
      </c>
    </row>
    <row r="1224" spans="1:7">
      <c r="A1224" s="241" t="s">
        <v>1198</v>
      </c>
      <c r="B1224" s="242" t="s">
        <v>2158</v>
      </c>
      <c r="C1224" s="242" t="s">
        <v>1199</v>
      </c>
      <c r="D1224" s="242"/>
      <c r="E1224" s="453">
        <v>1073297.8799999999</v>
      </c>
      <c r="F1224" s="451">
        <v>956538.45</v>
      </c>
      <c r="G1224" s="459">
        <f t="shared" si="19"/>
        <v>89.121432905467032</v>
      </c>
    </row>
    <row r="1225" spans="1:7">
      <c r="A1225" s="241" t="s">
        <v>248</v>
      </c>
      <c r="B1225" s="242" t="s">
        <v>2158</v>
      </c>
      <c r="C1225" s="242" t="s">
        <v>1199</v>
      </c>
      <c r="D1225" s="242" t="s">
        <v>1144</v>
      </c>
      <c r="E1225" s="453">
        <v>1073297.8799999999</v>
      </c>
      <c r="F1225" s="451">
        <v>956538.45</v>
      </c>
      <c r="G1225" s="459">
        <f t="shared" si="19"/>
        <v>89.121432905467032</v>
      </c>
    </row>
    <row r="1226" spans="1:7">
      <c r="A1226" s="241" t="s">
        <v>210</v>
      </c>
      <c r="B1226" s="242" t="s">
        <v>2158</v>
      </c>
      <c r="C1226" s="242" t="s">
        <v>1199</v>
      </c>
      <c r="D1226" s="242" t="s">
        <v>381</v>
      </c>
      <c r="E1226" s="453">
        <v>1073297.8799999999</v>
      </c>
      <c r="F1226" s="451">
        <v>956538.45</v>
      </c>
      <c r="G1226" s="459">
        <f t="shared" si="19"/>
        <v>89.121432905467032</v>
      </c>
    </row>
    <row r="1227" spans="1:7" ht="63.75">
      <c r="A1227" s="241" t="s">
        <v>1988</v>
      </c>
      <c r="B1227" s="242" t="s">
        <v>1989</v>
      </c>
      <c r="C1227" s="242"/>
      <c r="D1227" s="242"/>
      <c r="E1227" s="453">
        <v>4040500</v>
      </c>
      <c r="F1227" s="451">
        <v>4040500</v>
      </c>
      <c r="G1227" s="459">
        <f t="shared" si="19"/>
        <v>100</v>
      </c>
    </row>
    <row r="1228" spans="1:7" ht="25.5">
      <c r="A1228" s="241" t="s">
        <v>1325</v>
      </c>
      <c r="B1228" s="242" t="s">
        <v>1989</v>
      </c>
      <c r="C1228" s="242" t="s">
        <v>1326</v>
      </c>
      <c r="D1228" s="242"/>
      <c r="E1228" s="453">
        <v>4040500</v>
      </c>
      <c r="F1228" s="451">
        <v>4040500</v>
      </c>
      <c r="G1228" s="459">
        <f t="shared" si="19"/>
        <v>100</v>
      </c>
    </row>
    <row r="1229" spans="1:7">
      <c r="A1229" s="241" t="s">
        <v>1207</v>
      </c>
      <c r="B1229" s="242" t="s">
        <v>1989</v>
      </c>
      <c r="C1229" s="242" t="s">
        <v>75</v>
      </c>
      <c r="D1229" s="242"/>
      <c r="E1229" s="453">
        <v>4040500</v>
      </c>
      <c r="F1229" s="451">
        <v>4040500</v>
      </c>
      <c r="G1229" s="459">
        <f t="shared" si="19"/>
        <v>100</v>
      </c>
    </row>
    <row r="1230" spans="1:7">
      <c r="A1230" s="241" t="s">
        <v>248</v>
      </c>
      <c r="B1230" s="242" t="s">
        <v>1989</v>
      </c>
      <c r="C1230" s="242" t="s">
        <v>75</v>
      </c>
      <c r="D1230" s="242" t="s">
        <v>1144</v>
      </c>
      <c r="E1230" s="453">
        <v>4040500</v>
      </c>
      <c r="F1230" s="451">
        <v>4040500</v>
      </c>
      <c r="G1230" s="459">
        <f t="shared" si="19"/>
        <v>100</v>
      </c>
    </row>
    <row r="1231" spans="1:7">
      <c r="A1231" s="241" t="s">
        <v>210</v>
      </c>
      <c r="B1231" s="242" t="s">
        <v>1989</v>
      </c>
      <c r="C1231" s="242" t="s">
        <v>75</v>
      </c>
      <c r="D1231" s="242" t="s">
        <v>381</v>
      </c>
      <c r="E1231" s="453">
        <v>4040500</v>
      </c>
      <c r="F1231" s="451">
        <v>4040500</v>
      </c>
      <c r="G1231" s="459">
        <f t="shared" si="19"/>
        <v>100</v>
      </c>
    </row>
    <row r="1232" spans="1:7" ht="63.75">
      <c r="A1232" s="241" t="s">
        <v>1779</v>
      </c>
      <c r="B1232" s="242" t="s">
        <v>1780</v>
      </c>
      <c r="C1232" s="242"/>
      <c r="D1232" s="242"/>
      <c r="E1232" s="453">
        <v>1345112.91</v>
      </c>
      <c r="F1232" s="451">
        <v>1345112.91</v>
      </c>
      <c r="G1232" s="459">
        <f t="shared" si="19"/>
        <v>100</v>
      </c>
    </row>
    <row r="1233" spans="1:7" ht="25.5">
      <c r="A1233" s="241" t="s">
        <v>1327</v>
      </c>
      <c r="B1233" s="242" t="s">
        <v>1780</v>
      </c>
      <c r="C1233" s="242" t="s">
        <v>1328</v>
      </c>
      <c r="D1233" s="242"/>
      <c r="E1233" s="453">
        <v>1345112.91</v>
      </c>
      <c r="F1233" s="451">
        <v>1345112.91</v>
      </c>
      <c r="G1233" s="459">
        <f t="shared" si="19"/>
        <v>100</v>
      </c>
    </row>
    <row r="1234" spans="1:7">
      <c r="A1234" s="241" t="s">
        <v>1198</v>
      </c>
      <c r="B1234" s="242" t="s">
        <v>1780</v>
      </c>
      <c r="C1234" s="242" t="s">
        <v>1199</v>
      </c>
      <c r="D1234" s="242"/>
      <c r="E1234" s="453">
        <v>1345112.91</v>
      </c>
      <c r="F1234" s="451">
        <v>1345112.91</v>
      </c>
      <c r="G1234" s="459">
        <f t="shared" si="19"/>
        <v>100</v>
      </c>
    </row>
    <row r="1235" spans="1:7">
      <c r="A1235" s="241" t="s">
        <v>248</v>
      </c>
      <c r="B1235" s="242" t="s">
        <v>1780</v>
      </c>
      <c r="C1235" s="242" t="s">
        <v>1199</v>
      </c>
      <c r="D1235" s="242" t="s">
        <v>1144</v>
      </c>
      <c r="E1235" s="453">
        <v>1345112.91</v>
      </c>
      <c r="F1235" s="451">
        <v>1345112.91</v>
      </c>
      <c r="G1235" s="459">
        <f t="shared" si="19"/>
        <v>100</v>
      </c>
    </row>
    <row r="1236" spans="1:7">
      <c r="A1236" s="241" t="s">
        <v>210</v>
      </c>
      <c r="B1236" s="242" t="s">
        <v>1780</v>
      </c>
      <c r="C1236" s="242" t="s">
        <v>1199</v>
      </c>
      <c r="D1236" s="242" t="s">
        <v>381</v>
      </c>
      <c r="E1236" s="453">
        <v>1345112.91</v>
      </c>
      <c r="F1236" s="451">
        <v>1345112.91</v>
      </c>
      <c r="G1236" s="459">
        <f t="shared" si="19"/>
        <v>100</v>
      </c>
    </row>
    <row r="1237" spans="1:7" ht="63.75">
      <c r="A1237" s="241" t="s">
        <v>1186</v>
      </c>
      <c r="B1237" s="242" t="s">
        <v>1187</v>
      </c>
      <c r="C1237" s="242"/>
      <c r="D1237" s="242"/>
      <c r="E1237" s="453">
        <v>939000</v>
      </c>
      <c r="F1237" s="451">
        <v>939000</v>
      </c>
      <c r="G1237" s="459">
        <f t="shared" si="19"/>
        <v>100</v>
      </c>
    </row>
    <row r="1238" spans="1:7" ht="25.5">
      <c r="A1238" s="241" t="s">
        <v>1327</v>
      </c>
      <c r="B1238" s="242" t="s">
        <v>1187</v>
      </c>
      <c r="C1238" s="242" t="s">
        <v>1328</v>
      </c>
      <c r="D1238" s="242"/>
      <c r="E1238" s="453">
        <v>939000</v>
      </c>
      <c r="F1238" s="451">
        <v>939000</v>
      </c>
      <c r="G1238" s="459">
        <f t="shared" si="19"/>
        <v>100</v>
      </c>
    </row>
    <row r="1239" spans="1:7">
      <c r="A1239" s="241" t="s">
        <v>1198</v>
      </c>
      <c r="B1239" s="242" t="s">
        <v>1187</v>
      </c>
      <c r="C1239" s="242" t="s">
        <v>1199</v>
      </c>
      <c r="D1239" s="242"/>
      <c r="E1239" s="453">
        <v>939000</v>
      </c>
      <c r="F1239" s="451">
        <v>939000</v>
      </c>
      <c r="G1239" s="459">
        <f t="shared" si="19"/>
        <v>100</v>
      </c>
    </row>
    <row r="1240" spans="1:7">
      <c r="A1240" s="241" t="s">
        <v>248</v>
      </c>
      <c r="B1240" s="242" t="s">
        <v>1187</v>
      </c>
      <c r="C1240" s="242" t="s">
        <v>1199</v>
      </c>
      <c r="D1240" s="242" t="s">
        <v>1144</v>
      </c>
      <c r="E1240" s="453">
        <v>939000</v>
      </c>
      <c r="F1240" s="451">
        <v>939000</v>
      </c>
      <c r="G1240" s="459">
        <f t="shared" si="19"/>
        <v>100</v>
      </c>
    </row>
    <row r="1241" spans="1:7">
      <c r="A1241" s="241" t="s">
        <v>1228</v>
      </c>
      <c r="B1241" s="242" t="s">
        <v>1187</v>
      </c>
      <c r="C1241" s="242" t="s">
        <v>1199</v>
      </c>
      <c r="D1241" s="242" t="s">
        <v>1229</v>
      </c>
      <c r="E1241" s="453">
        <v>939000</v>
      </c>
      <c r="F1241" s="451">
        <v>939000</v>
      </c>
      <c r="G1241" s="459">
        <f t="shared" si="19"/>
        <v>100</v>
      </c>
    </row>
    <row r="1242" spans="1:7" ht="25.5">
      <c r="A1242" s="241" t="s">
        <v>477</v>
      </c>
      <c r="B1242" s="242" t="s">
        <v>990</v>
      </c>
      <c r="C1242" s="242"/>
      <c r="D1242" s="242"/>
      <c r="E1242" s="453">
        <v>187650</v>
      </c>
      <c r="F1242" s="451">
        <v>187650</v>
      </c>
      <c r="G1242" s="459">
        <f t="shared" si="19"/>
        <v>100</v>
      </c>
    </row>
    <row r="1243" spans="1:7" ht="76.5">
      <c r="A1243" s="241" t="s">
        <v>504</v>
      </c>
      <c r="B1243" s="242" t="s">
        <v>690</v>
      </c>
      <c r="C1243" s="242"/>
      <c r="D1243" s="242"/>
      <c r="E1243" s="453">
        <v>187650</v>
      </c>
      <c r="F1243" s="451">
        <v>187650</v>
      </c>
      <c r="G1243" s="459">
        <f t="shared" si="19"/>
        <v>100</v>
      </c>
    </row>
    <row r="1244" spans="1:7" ht="25.5">
      <c r="A1244" s="241" t="s">
        <v>1327</v>
      </c>
      <c r="B1244" s="242" t="s">
        <v>690</v>
      </c>
      <c r="C1244" s="242" t="s">
        <v>1328</v>
      </c>
      <c r="D1244" s="242"/>
      <c r="E1244" s="453">
        <v>187650</v>
      </c>
      <c r="F1244" s="451">
        <v>187650</v>
      </c>
      <c r="G1244" s="459">
        <f t="shared" si="19"/>
        <v>100</v>
      </c>
    </row>
    <row r="1245" spans="1:7">
      <c r="A1245" s="241" t="s">
        <v>1198</v>
      </c>
      <c r="B1245" s="242" t="s">
        <v>690</v>
      </c>
      <c r="C1245" s="242" t="s">
        <v>1199</v>
      </c>
      <c r="D1245" s="242"/>
      <c r="E1245" s="453">
        <v>187650</v>
      </c>
      <c r="F1245" s="451">
        <v>187650</v>
      </c>
      <c r="G1245" s="459">
        <f t="shared" si="19"/>
        <v>100</v>
      </c>
    </row>
    <row r="1246" spans="1:7">
      <c r="A1246" s="241" t="s">
        <v>248</v>
      </c>
      <c r="B1246" s="242" t="s">
        <v>690</v>
      </c>
      <c r="C1246" s="242" t="s">
        <v>1199</v>
      </c>
      <c r="D1246" s="242" t="s">
        <v>1144</v>
      </c>
      <c r="E1246" s="453">
        <v>187650</v>
      </c>
      <c r="F1246" s="451">
        <v>187650</v>
      </c>
      <c r="G1246" s="459">
        <f t="shared" si="19"/>
        <v>100</v>
      </c>
    </row>
    <row r="1247" spans="1:7">
      <c r="A1247" s="241" t="s">
        <v>210</v>
      </c>
      <c r="B1247" s="242" t="s">
        <v>690</v>
      </c>
      <c r="C1247" s="242" t="s">
        <v>1199</v>
      </c>
      <c r="D1247" s="242" t="s">
        <v>381</v>
      </c>
      <c r="E1247" s="453">
        <v>187650</v>
      </c>
      <c r="F1247" s="451">
        <v>187650</v>
      </c>
      <c r="G1247" s="459">
        <f t="shared" si="19"/>
        <v>100</v>
      </c>
    </row>
    <row r="1248" spans="1:7" ht="38.25">
      <c r="A1248" s="241" t="s">
        <v>1239</v>
      </c>
      <c r="B1248" s="242" t="s">
        <v>991</v>
      </c>
      <c r="C1248" s="242"/>
      <c r="D1248" s="242"/>
      <c r="E1248" s="453">
        <v>14370757.5</v>
      </c>
      <c r="F1248" s="451">
        <v>14070757.5</v>
      </c>
      <c r="G1248" s="459">
        <f t="shared" si="19"/>
        <v>97.912427372043538</v>
      </c>
    </row>
    <row r="1249" spans="1:7" ht="25.5">
      <c r="A1249" s="241" t="s">
        <v>480</v>
      </c>
      <c r="B1249" s="242" t="s">
        <v>992</v>
      </c>
      <c r="C1249" s="242"/>
      <c r="D1249" s="242"/>
      <c r="E1249" s="453">
        <v>14367757.5</v>
      </c>
      <c r="F1249" s="451">
        <v>14067757.5</v>
      </c>
      <c r="G1249" s="459">
        <f t="shared" si="19"/>
        <v>97.911991485101282</v>
      </c>
    </row>
    <row r="1250" spans="1:7" ht="89.25">
      <c r="A1250" s="241" t="s">
        <v>1309</v>
      </c>
      <c r="B1250" s="242" t="s">
        <v>672</v>
      </c>
      <c r="C1250" s="242"/>
      <c r="D1250" s="242"/>
      <c r="E1250" s="453">
        <v>10000</v>
      </c>
      <c r="F1250" s="451">
        <v>10000</v>
      </c>
      <c r="G1250" s="459">
        <f t="shared" si="19"/>
        <v>100</v>
      </c>
    </row>
    <row r="1251" spans="1:7" ht="25.5">
      <c r="A1251" s="241" t="s">
        <v>1319</v>
      </c>
      <c r="B1251" s="242" t="s">
        <v>672</v>
      </c>
      <c r="C1251" s="242" t="s">
        <v>1320</v>
      </c>
      <c r="D1251" s="242"/>
      <c r="E1251" s="453">
        <v>10000</v>
      </c>
      <c r="F1251" s="451">
        <v>10000</v>
      </c>
      <c r="G1251" s="459">
        <f t="shared" si="19"/>
        <v>100</v>
      </c>
    </row>
    <row r="1252" spans="1:7" ht="25.5">
      <c r="A1252" s="241" t="s">
        <v>1196</v>
      </c>
      <c r="B1252" s="242" t="s">
        <v>672</v>
      </c>
      <c r="C1252" s="242" t="s">
        <v>1197</v>
      </c>
      <c r="D1252" s="242"/>
      <c r="E1252" s="453">
        <v>10000</v>
      </c>
      <c r="F1252" s="451">
        <v>10000</v>
      </c>
      <c r="G1252" s="459">
        <f t="shared" si="19"/>
        <v>100</v>
      </c>
    </row>
    <row r="1253" spans="1:7">
      <c r="A1253" s="241" t="s">
        <v>183</v>
      </c>
      <c r="B1253" s="242" t="s">
        <v>672</v>
      </c>
      <c r="C1253" s="242" t="s">
        <v>1197</v>
      </c>
      <c r="D1253" s="242" t="s">
        <v>1140</v>
      </c>
      <c r="E1253" s="453">
        <v>10000</v>
      </c>
      <c r="F1253" s="451">
        <v>10000</v>
      </c>
      <c r="G1253" s="459">
        <f t="shared" si="19"/>
        <v>100</v>
      </c>
    </row>
    <row r="1254" spans="1:7">
      <c r="A1254" s="241" t="s">
        <v>145</v>
      </c>
      <c r="B1254" s="242" t="s">
        <v>672</v>
      </c>
      <c r="C1254" s="242" t="s">
        <v>1197</v>
      </c>
      <c r="D1254" s="242" t="s">
        <v>360</v>
      </c>
      <c r="E1254" s="453">
        <v>10000</v>
      </c>
      <c r="F1254" s="451">
        <v>10000</v>
      </c>
      <c r="G1254" s="459">
        <f t="shared" si="19"/>
        <v>100</v>
      </c>
    </row>
    <row r="1255" spans="1:7" ht="102">
      <c r="A1255" s="241" t="s">
        <v>1513</v>
      </c>
      <c r="B1255" s="242" t="s">
        <v>1344</v>
      </c>
      <c r="C1255" s="242"/>
      <c r="D1255" s="242"/>
      <c r="E1255" s="453">
        <v>1923158</v>
      </c>
      <c r="F1255" s="451">
        <v>1923158</v>
      </c>
      <c r="G1255" s="459">
        <f t="shared" si="19"/>
        <v>100</v>
      </c>
    </row>
    <row r="1256" spans="1:7">
      <c r="A1256" s="241" t="s">
        <v>1321</v>
      </c>
      <c r="B1256" s="242" t="s">
        <v>1344</v>
      </c>
      <c r="C1256" s="242" t="s">
        <v>1322</v>
      </c>
      <c r="D1256" s="242"/>
      <c r="E1256" s="453">
        <v>1923158</v>
      </c>
      <c r="F1256" s="451">
        <v>1923158</v>
      </c>
      <c r="G1256" s="459">
        <f t="shared" si="19"/>
        <v>100</v>
      </c>
    </row>
    <row r="1257" spans="1:7" ht="38.25">
      <c r="A1257" s="241" t="s">
        <v>1206</v>
      </c>
      <c r="B1257" s="242" t="s">
        <v>1344</v>
      </c>
      <c r="C1257" s="242" t="s">
        <v>354</v>
      </c>
      <c r="D1257" s="242"/>
      <c r="E1257" s="453">
        <v>1923158</v>
      </c>
      <c r="F1257" s="451">
        <v>1923158</v>
      </c>
      <c r="G1257" s="459">
        <f t="shared" si="19"/>
        <v>100</v>
      </c>
    </row>
    <row r="1258" spans="1:7">
      <c r="A1258" s="241" t="s">
        <v>183</v>
      </c>
      <c r="B1258" s="242" t="s">
        <v>1344</v>
      </c>
      <c r="C1258" s="242" t="s">
        <v>354</v>
      </c>
      <c r="D1258" s="242" t="s">
        <v>1140</v>
      </c>
      <c r="E1258" s="453">
        <v>1923158</v>
      </c>
      <c r="F1258" s="451">
        <v>1923158</v>
      </c>
      <c r="G1258" s="459">
        <f t="shared" si="19"/>
        <v>100</v>
      </c>
    </row>
    <row r="1259" spans="1:7">
      <c r="A1259" s="241" t="s">
        <v>145</v>
      </c>
      <c r="B1259" s="242" t="s">
        <v>1344</v>
      </c>
      <c r="C1259" s="242" t="s">
        <v>354</v>
      </c>
      <c r="D1259" s="242" t="s">
        <v>360</v>
      </c>
      <c r="E1259" s="453">
        <v>1923158</v>
      </c>
      <c r="F1259" s="451">
        <v>1923158</v>
      </c>
      <c r="G1259" s="459">
        <f t="shared" si="19"/>
        <v>100</v>
      </c>
    </row>
    <row r="1260" spans="1:7" ht="102">
      <c r="A1260" s="241" t="s">
        <v>2137</v>
      </c>
      <c r="B1260" s="242" t="s">
        <v>2138</v>
      </c>
      <c r="C1260" s="242"/>
      <c r="D1260" s="242"/>
      <c r="E1260" s="453">
        <v>11834599.5</v>
      </c>
      <c r="F1260" s="451">
        <v>11834599.5</v>
      </c>
      <c r="G1260" s="459">
        <f t="shared" si="19"/>
        <v>100</v>
      </c>
    </row>
    <row r="1261" spans="1:7">
      <c r="A1261" s="241" t="s">
        <v>1321</v>
      </c>
      <c r="B1261" s="242" t="s">
        <v>2138</v>
      </c>
      <c r="C1261" s="242" t="s">
        <v>1322</v>
      </c>
      <c r="D1261" s="242"/>
      <c r="E1261" s="453">
        <v>11834599.5</v>
      </c>
      <c r="F1261" s="451">
        <v>11834599.5</v>
      </c>
      <c r="G1261" s="459">
        <f t="shared" si="19"/>
        <v>100</v>
      </c>
    </row>
    <row r="1262" spans="1:7" ht="38.25">
      <c r="A1262" s="241" t="s">
        <v>1206</v>
      </c>
      <c r="B1262" s="242" t="s">
        <v>2138</v>
      </c>
      <c r="C1262" s="242" t="s">
        <v>354</v>
      </c>
      <c r="D1262" s="242"/>
      <c r="E1262" s="453">
        <v>11834599.5</v>
      </c>
      <c r="F1262" s="451">
        <v>11834599.5</v>
      </c>
      <c r="G1262" s="459">
        <f t="shared" si="19"/>
        <v>100</v>
      </c>
    </row>
    <row r="1263" spans="1:7">
      <c r="A1263" s="241" t="s">
        <v>183</v>
      </c>
      <c r="B1263" s="242" t="s">
        <v>2138</v>
      </c>
      <c r="C1263" s="242" t="s">
        <v>354</v>
      </c>
      <c r="D1263" s="242" t="s">
        <v>1140</v>
      </c>
      <c r="E1263" s="453">
        <v>11834599.5</v>
      </c>
      <c r="F1263" s="451">
        <v>11834599.5</v>
      </c>
      <c r="G1263" s="459">
        <f t="shared" si="19"/>
        <v>100</v>
      </c>
    </row>
    <row r="1264" spans="1:7">
      <c r="A1264" s="241" t="s">
        <v>145</v>
      </c>
      <c r="B1264" s="242" t="s">
        <v>2138</v>
      </c>
      <c r="C1264" s="242" t="s">
        <v>354</v>
      </c>
      <c r="D1264" s="242" t="s">
        <v>360</v>
      </c>
      <c r="E1264" s="453">
        <v>11834599.5</v>
      </c>
      <c r="F1264" s="451">
        <v>11834599.5</v>
      </c>
      <c r="G1264" s="459">
        <f t="shared" si="19"/>
        <v>100</v>
      </c>
    </row>
    <row r="1265" spans="1:7" ht="127.5">
      <c r="A1265" s="241" t="s">
        <v>2197</v>
      </c>
      <c r="B1265" s="242" t="s">
        <v>2198</v>
      </c>
      <c r="C1265" s="242"/>
      <c r="D1265" s="242"/>
      <c r="E1265" s="453">
        <v>600000</v>
      </c>
      <c r="F1265" s="451">
        <v>300000</v>
      </c>
      <c r="G1265" s="459">
        <f t="shared" si="19"/>
        <v>50</v>
      </c>
    </row>
    <row r="1266" spans="1:7">
      <c r="A1266" s="241" t="s">
        <v>1321</v>
      </c>
      <c r="B1266" s="242" t="s">
        <v>2198</v>
      </c>
      <c r="C1266" s="242" t="s">
        <v>1322</v>
      </c>
      <c r="D1266" s="242"/>
      <c r="E1266" s="453">
        <v>600000</v>
      </c>
      <c r="F1266" s="451">
        <v>300000</v>
      </c>
      <c r="G1266" s="459">
        <f t="shared" si="19"/>
        <v>50</v>
      </c>
    </row>
    <row r="1267" spans="1:7" ht="38.25">
      <c r="A1267" s="241" t="s">
        <v>1206</v>
      </c>
      <c r="B1267" s="242" t="s">
        <v>2198</v>
      </c>
      <c r="C1267" s="242" t="s">
        <v>354</v>
      </c>
      <c r="D1267" s="242"/>
      <c r="E1267" s="453">
        <v>600000</v>
      </c>
      <c r="F1267" s="451">
        <v>300000</v>
      </c>
      <c r="G1267" s="459">
        <f t="shared" si="19"/>
        <v>50</v>
      </c>
    </row>
    <row r="1268" spans="1:7">
      <c r="A1268" s="241" t="s">
        <v>183</v>
      </c>
      <c r="B1268" s="242" t="s">
        <v>2198</v>
      </c>
      <c r="C1268" s="242" t="s">
        <v>354</v>
      </c>
      <c r="D1268" s="242" t="s">
        <v>1140</v>
      </c>
      <c r="E1268" s="453">
        <v>600000</v>
      </c>
      <c r="F1268" s="451">
        <v>300000</v>
      </c>
      <c r="G1268" s="459">
        <f t="shared" si="19"/>
        <v>50</v>
      </c>
    </row>
    <row r="1269" spans="1:7">
      <c r="A1269" s="241" t="s">
        <v>145</v>
      </c>
      <c r="B1269" s="242" t="s">
        <v>2198</v>
      </c>
      <c r="C1269" s="242" t="s">
        <v>354</v>
      </c>
      <c r="D1269" s="242" t="s">
        <v>360</v>
      </c>
      <c r="E1269" s="453">
        <v>600000</v>
      </c>
      <c r="F1269" s="451">
        <v>300000</v>
      </c>
      <c r="G1269" s="459">
        <f t="shared" si="19"/>
        <v>50</v>
      </c>
    </row>
    <row r="1270" spans="1:7" ht="25.5">
      <c r="A1270" s="241" t="s">
        <v>447</v>
      </c>
      <c r="B1270" s="242" t="s">
        <v>1310</v>
      </c>
      <c r="C1270" s="242"/>
      <c r="D1270" s="242"/>
      <c r="E1270" s="453">
        <v>3000</v>
      </c>
      <c r="F1270" s="451">
        <v>3000</v>
      </c>
      <c r="G1270" s="459">
        <f t="shared" si="19"/>
        <v>100</v>
      </c>
    </row>
    <row r="1271" spans="1:7" ht="89.25">
      <c r="A1271" s="241" t="s">
        <v>1311</v>
      </c>
      <c r="B1271" s="242" t="s">
        <v>1312</v>
      </c>
      <c r="C1271" s="242"/>
      <c r="D1271" s="242"/>
      <c r="E1271" s="453">
        <v>3000</v>
      </c>
      <c r="F1271" s="451">
        <v>3000</v>
      </c>
      <c r="G1271" s="459">
        <f t="shared" si="19"/>
        <v>100</v>
      </c>
    </row>
    <row r="1272" spans="1:7" ht="25.5">
      <c r="A1272" s="241" t="s">
        <v>1319</v>
      </c>
      <c r="B1272" s="242" t="s">
        <v>1312</v>
      </c>
      <c r="C1272" s="242" t="s">
        <v>1320</v>
      </c>
      <c r="D1272" s="242"/>
      <c r="E1272" s="453">
        <v>3000</v>
      </c>
      <c r="F1272" s="451">
        <v>3000</v>
      </c>
      <c r="G1272" s="459">
        <f t="shared" si="19"/>
        <v>100</v>
      </c>
    </row>
    <row r="1273" spans="1:7" ht="25.5">
      <c r="A1273" s="241" t="s">
        <v>1196</v>
      </c>
      <c r="B1273" s="242" t="s">
        <v>1312</v>
      </c>
      <c r="C1273" s="242" t="s">
        <v>1197</v>
      </c>
      <c r="D1273" s="242"/>
      <c r="E1273" s="453">
        <v>3000</v>
      </c>
      <c r="F1273" s="451">
        <v>3000</v>
      </c>
      <c r="G1273" s="459">
        <f t="shared" si="19"/>
        <v>100</v>
      </c>
    </row>
    <row r="1274" spans="1:7">
      <c r="A1274" s="241" t="s">
        <v>183</v>
      </c>
      <c r="B1274" s="242" t="s">
        <v>1312</v>
      </c>
      <c r="C1274" s="242" t="s">
        <v>1197</v>
      </c>
      <c r="D1274" s="242" t="s">
        <v>1140</v>
      </c>
      <c r="E1274" s="453">
        <v>3000</v>
      </c>
      <c r="F1274" s="451">
        <v>3000</v>
      </c>
      <c r="G1274" s="459">
        <f t="shared" si="19"/>
        <v>100</v>
      </c>
    </row>
    <row r="1275" spans="1:7">
      <c r="A1275" s="241" t="s">
        <v>145</v>
      </c>
      <c r="B1275" s="242" t="s">
        <v>1312</v>
      </c>
      <c r="C1275" s="242" t="s">
        <v>1197</v>
      </c>
      <c r="D1275" s="242" t="s">
        <v>360</v>
      </c>
      <c r="E1275" s="453">
        <v>3000</v>
      </c>
      <c r="F1275" s="451">
        <v>3000</v>
      </c>
      <c r="G1275" s="459">
        <f t="shared" si="19"/>
        <v>100</v>
      </c>
    </row>
    <row r="1276" spans="1:7" ht="25.5">
      <c r="A1276" s="241" t="s">
        <v>483</v>
      </c>
      <c r="B1276" s="242" t="s">
        <v>993</v>
      </c>
      <c r="C1276" s="242"/>
      <c r="D1276" s="242"/>
      <c r="E1276" s="453">
        <v>87281223.340000004</v>
      </c>
      <c r="F1276" s="451">
        <v>87272985.329999998</v>
      </c>
      <c r="G1276" s="459">
        <f t="shared" si="19"/>
        <v>99.990561532383765</v>
      </c>
    </row>
    <row r="1277" spans="1:7">
      <c r="A1277" s="241" t="s">
        <v>484</v>
      </c>
      <c r="B1277" s="242" t="s">
        <v>994</v>
      </c>
      <c r="C1277" s="242"/>
      <c r="D1277" s="242"/>
      <c r="E1277" s="453">
        <v>15295950</v>
      </c>
      <c r="F1277" s="451">
        <v>15287712</v>
      </c>
      <c r="G1277" s="459">
        <f t="shared" si="19"/>
        <v>99.946142606376199</v>
      </c>
    </row>
    <row r="1278" spans="1:7" ht="89.25">
      <c r="A1278" s="241" t="s">
        <v>2113</v>
      </c>
      <c r="B1278" s="242" t="s">
        <v>910</v>
      </c>
      <c r="C1278" s="242"/>
      <c r="D1278" s="242"/>
      <c r="E1278" s="453">
        <v>10206400</v>
      </c>
      <c r="F1278" s="451">
        <v>10206400</v>
      </c>
      <c r="G1278" s="459">
        <f t="shared" si="19"/>
        <v>100</v>
      </c>
    </row>
    <row r="1279" spans="1:7">
      <c r="A1279" s="241" t="s">
        <v>1329</v>
      </c>
      <c r="B1279" s="242" t="s">
        <v>910</v>
      </c>
      <c r="C1279" s="242" t="s">
        <v>1330</v>
      </c>
      <c r="D1279" s="242"/>
      <c r="E1279" s="453">
        <v>10206400</v>
      </c>
      <c r="F1279" s="451">
        <v>10206400</v>
      </c>
      <c r="G1279" s="459">
        <f t="shared" si="19"/>
        <v>100</v>
      </c>
    </row>
    <row r="1280" spans="1:7">
      <c r="A1280" s="241" t="s">
        <v>68</v>
      </c>
      <c r="B1280" s="242" t="s">
        <v>910</v>
      </c>
      <c r="C1280" s="242" t="s">
        <v>430</v>
      </c>
      <c r="D1280" s="242"/>
      <c r="E1280" s="453">
        <v>10206400</v>
      </c>
      <c r="F1280" s="451">
        <v>10206400</v>
      </c>
      <c r="G1280" s="459">
        <f t="shared" si="19"/>
        <v>100</v>
      </c>
    </row>
    <row r="1281" spans="1:7">
      <c r="A1281" s="241" t="s">
        <v>183</v>
      </c>
      <c r="B1281" s="242" t="s">
        <v>910</v>
      </c>
      <c r="C1281" s="242" t="s">
        <v>430</v>
      </c>
      <c r="D1281" s="242" t="s">
        <v>1140</v>
      </c>
      <c r="E1281" s="453">
        <v>10206400</v>
      </c>
      <c r="F1281" s="451">
        <v>10206400</v>
      </c>
      <c r="G1281" s="459">
        <f t="shared" si="19"/>
        <v>100</v>
      </c>
    </row>
    <row r="1282" spans="1:7">
      <c r="A1282" s="241" t="s">
        <v>252</v>
      </c>
      <c r="B1282" s="242" t="s">
        <v>910</v>
      </c>
      <c r="C1282" s="242" t="s">
        <v>430</v>
      </c>
      <c r="D1282" s="242" t="s">
        <v>358</v>
      </c>
      <c r="E1282" s="453">
        <v>10206400</v>
      </c>
      <c r="F1282" s="451">
        <v>10206400</v>
      </c>
      <c r="G1282" s="459">
        <f t="shared" si="19"/>
        <v>100</v>
      </c>
    </row>
    <row r="1283" spans="1:7" ht="38.25">
      <c r="A1283" s="241" t="s">
        <v>359</v>
      </c>
      <c r="B1283" s="242" t="s">
        <v>671</v>
      </c>
      <c r="C1283" s="242"/>
      <c r="D1283" s="242"/>
      <c r="E1283" s="453">
        <v>214800</v>
      </c>
      <c r="F1283" s="451">
        <v>206562</v>
      </c>
      <c r="G1283" s="459">
        <f t="shared" si="19"/>
        <v>96.164804469273747</v>
      </c>
    </row>
    <row r="1284" spans="1:7" ht="25.5">
      <c r="A1284" s="241" t="s">
        <v>1319</v>
      </c>
      <c r="B1284" s="242" t="s">
        <v>671</v>
      </c>
      <c r="C1284" s="242" t="s">
        <v>1320</v>
      </c>
      <c r="D1284" s="242"/>
      <c r="E1284" s="453">
        <v>214800</v>
      </c>
      <c r="F1284" s="451">
        <v>206562</v>
      </c>
      <c r="G1284" s="459">
        <f t="shared" si="19"/>
        <v>96.164804469273747</v>
      </c>
    </row>
    <row r="1285" spans="1:7" ht="25.5">
      <c r="A1285" s="241" t="s">
        <v>1196</v>
      </c>
      <c r="B1285" s="242" t="s">
        <v>671</v>
      </c>
      <c r="C1285" s="242" t="s">
        <v>1197</v>
      </c>
      <c r="D1285" s="242"/>
      <c r="E1285" s="453">
        <v>214800</v>
      </c>
      <c r="F1285" s="451">
        <v>206562</v>
      </c>
      <c r="G1285" s="459">
        <f t="shared" si="19"/>
        <v>96.164804469273747</v>
      </c>
    </row>
    <row r="1286" spans="1:7">
      <c r="A1286" s="241" t="s">
        <v>183</v>
      </c>
      <c r="B1286" s="242" t="s">
        <v>671</v>
      </c>
      <c r="C1286" s="242" t="s">
        <v>1197</v>
      </c>
      <c r="D1286" s="242" t="s">
        <v>1140</v>
      </c>
      <c r="E1286" s="453">
        <v>214800</v>
      </c>
      <c r="F1286" s="451">
        <v>206562</v>
      </c>
      <c r="G1286" s="459">
        <f t="shared" si="19"/>
        <v>96.164804469273747</v>
      </c>
    </row>
    <row r="1287" spans="1:7">
      <c r="A1287" s="241" t="s">
        <v>252</v>
      </c>
      <c r="B1287" s="242" t="s">
        <v>671</v>
      </c>
      <c r="C1287" s="242" t="s">
        <v>1197</v>
      </c>
      <c r="D1287" s="242" t="s">
        <v>358</v>
      </c>
      <c r="E1287" s="453">
        <v>214800</v>
      </c>
      <c r="F1287" s="451">
        <v>206562</v>
      </c>
      <c r="G1287" s="459">
        <f t="shared" ref="G1287:G1350" si="20">F1287/E1287*100</f>
        <v>96.164804469273747</v>
      </c>
    </row>
    <row r="1288" spans="1:7" ht="89.25">
      <c r="A1288" s="241" t="s">
        <v>2113</v>
      </c>
      <c r="B1288" s="242" t="s">
        <v>1857</v>
      </c>
      <c r="C1288" s="242"/>
      <c r="D1288" s="242"/>
      <c r="E1288" s="453">
        <v>4874750</v>
      </c>
      <c r="F1288" s="451">
        <v>4874750</v>
      </c>
      <c r="G1288" s="459">
        <f t="shared" si="20"/>
        <v>100</v>
      </c>
    </row>
    <row r="1289" spans="1:7">
      <c r="A1289" s="241" t="s">
        <v>1329</v>
      </c>
      <c r="B1289" s="242" t="s">
        <v>1857</v>
      </c>
      <c r="C1289" s="242" t="s">
        <v>1330</v>
      </c>
      <c r="D1289" s="242"/>
      <c r="E1289" s="453">
        <v>4874750</v>
      </c>
      <c r="F1289" s="451">
        <v>4874750</v>
      </c>
      <c r="G1289" s="459">
        <f t="shared" si="20"/>
        <v>100</v>
      </c>
    </row>
    <row r="1290" spans="1:7">
      <c r="A1290" s="241" t="s">
        <v>68</v>
      </c>
      <c r="B1290" s="242" t="s">
        <v>1857</v>
      </c>
      <c r="C1290" s="242" t="s">
        <v>430</v>
      </c>
      <c r="D1290" s="242"/>
      <c r="E1290" s="453">
        <v>4874750</v>
      </c>
      <c r="F1290" s="451">
        <v>4874750</v>
      </c>
      <c r="G1290" s="459">
        <f t="shared" si="20"/>
        <v>100</v>
      </c>
    </row>
    <row r="1291" spans="1:7">
      <c r="A1291" s="241" t="s">
        <v>183</v>
      </c>
      <c r="B1291" s="242" t="s">
        <v>1857</v>
      </c>
      <c r="C1291" s="242" t="s">
        <v>430</v>
      </c>
      <c r="D1291" s="242" t="s">
        <v>1140</v>
      </c>
      <c r="E1291" s="453">
        <v>4874750</v>
      </c>
      <c r="F1291" s="451">
        <v>4874750</v>
      </c>
      <c r="G1291" s="459">
        <f t="shared" si="20"/>
        <v>100</v>
      </c>
    </row>
    <row r="1292" spans="1:7">
      <c r="A1292" s="241" t="s">
        <v>252</v>
      </c>
      <c r="B1292" s="242" t="s">
        <v>1857</v>
      </c>
      <c r="C1292" s="242" t="s">
        <v>430</v>
      </c>
      <c r="D1292" s="242" t="s">
        <v>358</v>
      </c>
      <c r="E1292" s="453">
        <v>4874750</v>
      </c>
      <c r="F1292" s="451">
        <v>4874750</v>
      </c>
      <c r="G1292" s="459">
        <f t="shared" si="20"/>
        <v>100</v>
      </c>
    </row>
    <row r="1293" spans="1:7" ht="25.5">
      <c r="A1293" s="241" t="s">
        <v>486</v>
      </c>
      <c r="B1293" s="242" t="s">
        <v>995</v>
      </c>
      <c r="C1293" s="242"/>
      <c r="D1293" s="242"/>
      <c r="E1293" s="453">
        <v>71891939.340000004</v>
      </c>
      <c r="F1293" s="451">
        <v>71891939.329999998</v>
      </c>
      <c r="G1293" s="459">
        <f t="shared" si="20"/>
        <v>99.999999986090231</v>
      </c>
    </row>
    <row r="1294" spans="1:7" ht="51">
      <c r="A1294" s="241" t="s">
        <v>1842</v>
      </c>
      <c r="B1294" s="242" t="s">
        <v>1843</v>
      </c>
      <c r="C1294" s="242"/>
      <c r="D1294" s="242"/>
      <c r="E1294" s="453">
        <v>7982236.5999999996</v>
      </c>
      <c r="F1294" s="451">
        <v>7982236.5999999996</v>
      </c>
      <c r="G1294" s="459">
        <f t="shared" si="20"/>
        <v>100</v>
      </c>
    </row>
    <row r="1295" spans="1:7">
      <c r="A1295" s="241" t="s">
        <v>1321</v>
      </c>
      <c r="B1295" s="242" t="s">
        <v>1843</v>
      </c>
      <c r="C1295" s="242" t="s">
        <v>1322</v>
      </c>
      <c r="D1295" s="242"/>
      <c r="E1295" s="453">
        <v>7982236.5999999996</v>
      </c>
      <c r="F1295" s="451">
        <v>7982236.5999999996</v>
      </c>
      <c r="G1295" s="459">
        <f t="shared" si="20"/>
        <v>100</v>
      </c>
    </row>
    <row r="1296" spans="1:7" ht="38.25">
      <c r="A1296" s="241" t="s">
        <v>1206</v>
      </c>
      <c r="B1296" s="242" t="s">
        <v>1843</v>
      </c>
      <c r="C1296" s="242" t="s">
        <v>354</v>
      </c>
      <c r="D1296" s="242"/>
      <c r="E1296" s="453">
        <v>7982236.5999999996</v>
      </c>
      <c r="F1296" s="451">
        <v>7982236.5999999996</v>
      </c>
      <c r="G1296" s="459">
        <f t="shared" si="20"/>
        <v>100</v>
      </c>
    </row>
    <row r="1297" spans="1:7">
      <c r="A1297" s="241" t="s">
        <v>183</v>
      </c>
      <c r="B1297" s="242" t="s">
        <v>1843</v>
      </c>
      <c r="C1297" s="242" t="s">
        <v>354</v>
      </c>
      <c r="D1297" s="242" t="s">
        <v>1140</v>
      </c>
      <c r="E1297" s="453">
        <v>7982236.5999999996</v>
      </c>
      <c r="F1297" s="451">
        <v>7982236.5999999996</v>
      </c>
      <c r="G1297" s="459">
        <f t="shared" si="20"/>
        <v>100</v>
      </c>
    </row>
    <row r="1298" spans="1:7">
      <c r="A1298" s="241" t="s">
        <v>185</v>
      </c>
      <c r="B1298" s="242" t="s">
        <v>1843</v>
      </c>
      <c r="C1298" s="242" t="s">
        <v>354</v>
      </c>
      <c r="D1298" s="242" t="s">
        <v>356</v>
      </c>
      <c r="E1298" s="453">
        <v>7982236.5999999996</v>
      </c>
      <c r="F1298" s="451">
        <v>7982236.5999999996</v>
      </c>
      <c r="G1298" s="459">
        <f t="shared" si="20"/>
        <v>100</v>
      </c>
    </row>
    <row r="1299" spans="1:7" ht="63.75">
      <c r="A1299" s="241" t="s">
        <v>357</v>
      </c>
      <c r="B1299" s="242" t="s">
        <v>670</v>
      </c>
      <c r="C1299" s="242"/>
      <c r="D1299" s="242"/>
      <c r="E1299" s="453">
        <v>63909702.740000002</v>
      </c>
      <c r="F1299" s="451">
        <v>63909702.729999997</v>
      </c>
      <c r="G1299" s="459">
        <f t="shared" si="20"/>
        <v>99.999999984352911</v>
      </c>
    </row>
    <row r="1300" spans="1:7">
      <c r="A1300" s="241" t="s">
        <v>1321</v>
      </c>
      <c r="B1300" s="242" t="s">
        <v>670</v>
      </c>
      <c r="C1300" s="242" t="s">
        <v>1322</v>
      </c>
      <c r="D1300" s="242"/>
      <c r="E1300" s="453">
        <v>63909702.740000002</v>
      </c>
      <c r="F1300" s="451">
        <v>63909702.729999997</v>
      </c>
      <c r="G1300" s="459">
        <f t="shared" si="20"/>
        <v>99.999999984352911</v>
      </c>
    </row>
    <row r="1301" spans="1:7" ht="38.25">
      <c r="A1301" s="241" t="s">
        <v>1206</v>
      </c>
      <c r="B1301" s="242" t="s">
        <v>670</v>
      </c>
      <c r="C1301" s="242" t="s">
        <v>354</v>
      </c>
      <c r="D1301" s="242"/>
      <c r="E1301" s="453">
        <v>63909702.740000002</v>
      </c>
      <c r="F1301" s="451">
        <v>63909702.729999997</v>
      </c>
      <c r="G1301" s="459">
        <f t="shared" si="20"/>
        <v>99.999999984352911</v>
      </c>
    </row>
    <row r="1302" spans="1:7">
      <c r="A1302" s="241" t="s">
        <v>183</v>
      </c>
      <c r="B1302" s="242" t="s">
        <v>670</v>
      </c>
      <c r="C1302" s="242" t="s">
        <v>354</v>
      </c>
      <c r="D1302" s="242" t="s">
        <v>1140</v>
      </c>
      <c r="E1302" s="453">
        <v>63909702.740000002</v>
      </c>
      <c r="F1302" s="451">
        <v>63909702.729999997</v>
      </c>
      <c r="G1302" s="459">
        <f t="shared" si="20"/>
        <v>99.999999984352911</v>
      </c>
    </row>
    <row r="1303" spans="1:7">
      <c r="A1303" s="241" t="s">
        <v>185</v>
      </c>
      <c r="B1303" s="242" t="s">
        <v>670</v>
      </c>
      <c r="C1303" s="242" t="s">
        <v>354</v>
      </c>
      <c r="D1303" s="242" t="s">
        <v>356</v>
      </c>
      <c r="E1303" s="453">
        <v>63909702.740000002</v>
      </c>
      <c r="F1303" s="451">
        <v>63909702.729999997</v>
      </c>
      <c r="G1303" s="459">
        <f t="shared" si="20"/>
        <v>99.999999984352911</v>
      </c>
    </row>
    <row r="1304" spans="1:7" ht="25.5">
      <c r="A1304" s="241" t="s">
        <v>488</v>
      </c>
      <c r="B1304" s="242" t="s">
        <v>996</v>
      </c>
      <c r="C1304" s="242"/>
      <c r="D1304" s="242"/>
      <c r="E1304" s="453">
        <v>93334</v>
      </c>
      <c r="F1304" s="451">
        <v>93334</v>
      </c>
      <c r="G1304" s="459">
        <f t="shared" si="20"/>
        <v>100</v>
      </c>
    </row>
    <row r="1305" spans="1:7" ht="51">
      <c r="A1305" s="241" t="s">
        <v>407</v>
      </c>
      <c r="B1305" s="242" t="s">
        <v>1732</v>
      </c>
      <c r="C1305" s="242"/>
      <c r="D1305" s="242"/>
      <c r="E1305" s="453">
        <v>80000</v>
      </c>
      <c r="F1305" s="451">
        <v>80000</v>
      </c>
      <c r="G1305" s="459">
        <f t="shared" si="20"/>
        <v>100</v>
      </c>
    </row>
    <row r="1306" spans="1:7" ht="25.5">
      <c r="A1306" s="241" t="s">
        <v>1327</v>
      </c>
      <c r="B1306" s="242" t="s">
        <v>1732</v>
      </c>
      <c r="C1306" s="242" t="s">
        <v>1328</v>
      </c>
      <c r="D1306" s="242"/>
      <c r="E1306" s="453">
        <v>80000</v>
      </c>
      <c r="F1306" s="451">
        <v>80000</v>
      </c>
      <c r="G1306" s="459">
        <f t="shared" si="20"/>
        <v>100</v>
      </c>
    </row>
    <row r="1307" spans="1:7">
      <c r="A1307" s="241" t="s">
        <v>1198</v>
      </c>
      <c r="B1307" s="242" t="s">
        <v>1732</v>
      </c>
      <c r="C1307" s="242" t="s">
        <v>1199</v>
      </c>
      <c r="D1307" s="242"/>
      <c r="E1307" s="453">
        <v>80000</v>
      </c>
      <c r="F1307" s="451">
        <v>80000</v>
      </c>
      <c r="G1307" s="459">
        <f t="shared" si="20"/>
        <v>100</v>
      </c>
    </row>
    <row r="1308" spans="1:7">
      <c r="A1308" s="241" t="s">
        <v>140</v>
      </c>
      <c r="B1308" s="242" t="s">
        <v>1732</v>
      </c>
      <c r="C1308" s="242" t="s">
        <v>1199</v>
      </c>
      <c r="D1308" s="242" t="s">
        <v>1142</v>
      </c>
      <c r="E1308" s="453">
        <v>80000</v>
      </c>
      <c r="F1308" s="451">
        <v>80000</v>
      </c>
      <c r="G1308" s="459">
        <f t="shared" si="20"/>
        <v>100</v>
      </c>
    </row>
    <row r="1309" spans="1:7">
      <c r="A1309" s="241" t="s">
        <v>1077</v>
      </c>
      <c r="B1309" s="242" t="s">
        <v>1732</v>
      </c>
      <c r="C1309" s="242" t="s">
        <v>1199</v>
      </c>
      <c r="D1309" s="242" t="s">
        <v>1078</v>
      </c>
      <c r="E1309" s="453">
        <v>80000</v>
      </c>
      <c r="F1309" s="451">
        <v>80000</v>
      </c>
      <c r="G1309" s="459">
        <f t="shared" si="20"/>
        <v>100</v>
      </c>
    </row>
    <row r="1310" spans="1:7" ht="76.5">
      <c r="A1310" s="241" t="s">
        <v>1807</v>
      </c>
      <c r="B1310" s="242" t="s">
        <v>1806</v>
      </c>
      <c r="C1310" s="242"/>
      <c r="D1310" s="242"/>
      <c r="E1310" s="453">
        <v>13334</v>
      </c>
      <c r="F1310" s="451">
        <v>13334</v>
      </c>
      <c r="G1310" s="459">
        <f t="shared" si="20"/>
        <v>100</v>
      </c>
    </row>
    <row r="1311" spans="1:7" ht="25.5">
      <c r="A1311" s="241" t="s">
        <v>1319</v>
      </c>
      <c r="B1311" s="242" t="s">
        <v>1806</v>
      </c>
      <c r="C1311" s="242" t="s">
        <v>1320</v>
      </c>
      <c r="D1311" s="242"/>
      <c r="E1311" s="453">
        <v>13334</v>
      </c>
      <c r="F1311" s="451">
        <v>13334</v>
      </c>
      <c r="G1311" s="459">
        <f t="shared" si="20"/>
        <v>100</v>
      </c>
    </row>
    <row r="1312" spans="1:7" ht="25.5">
      <c r="A1312" s="241" t="s">
        <v>1196</v>
      </c>
      <c r="B1312" s="242" t="s">
        <v>1806</v>
      </c>
      <c r="C1312" s="242" t="s">
        <v>1197</v>
      </c>
      <c r="D1312" s="242"/>
      <c r="E1312" s="453">
        <v>13334</v>
      </c>
      <c r="F1312" s="451">
        <v>13334</v>
      </c>
      <c r="G1312" s="459">
        <f t="shared" si="20"/>
        <v>100</v>
      </c>
    </row>
    <row r="1313" spans="1:7">
      <c r="A1313" s="241" t="s">
        <v>140</v>
      </c>
      <c r="B1313" s="242" t="s">
        <v>1806</v>
      </c>
      <c r="C1313" s="242" t="s">
        <v>1197</v>
      </c>
      <c r="D1313" s="242" t="s">
        <v>1142</v>
      </c>
      <c r="E1313" s="453">
        <v>13334</v>
      </c>
      <c r="F1313" s="451">
        <v>13334</v>
      </c>
      <c r="G1313" s="459">
        <f t="shared" si="20"/>
        <v>100</v>
      </c>
    </row>
    <row r="1314" spans="1:7">
      <c r="A1314" s="241" t="s">
        <v>153</v>
      </c>
      <c r="B1314" s="242" t="s">
        <v>1806</v>
      </c>
      <c r="C1314" s="242" t="s">
        <v>1197</v>
      </c>
      <c r="D1314" s="242" t="s">
        <v>395</v>
      </c>
      <c r="E1314" s="453">
        <v>13334</v>
      </c>
      <c r="F1314" s="451">
        <v>13334</v>
      </c>
      <c r="G1314" s="459">
        <f t="shared" si="20"/>
        <v>100</v>
      </c>
    </row>
    <row r="1315" spans="1:7" ht="25.5">
      <c r="A1315" s="241" t="s">
        <v>596</v>
      </c>
      <c r="B1315" s="242" t="s">
        <v>997</v>
      </c>
      <c r="C1315" s="242"/>
      <c r="D1315" s="242"/>
      <c r="E1315" s="453">
        <v>1250000</v>
      </c>
      <c r="F1315" s="451">
        <v>1250000</v>
      </c>
      <c r="G1315" s="459">
        <f t="shared" si="20"/>
        <v>100</v>
      </c>
    </row>
    <row r="1316" spans="1:7" ht="25.5">
      <c r="A1316" s="241" t="s">
        <v>919</v>
      </c>
      <c r="B1316" s="242" t="s">
        <v>2047</v>
      </c>
      <c r="C1316" s="242"/>
      <c r="D1316" s="242"/>
      <c r="E1316" s="453">
        <v>500000</v>
      </c>
      <c r="F1316" s="451">
        <v>500000</v>
      </c>
      <c r="G1316" s="459">
        <f t="shared" si="20"/>
        <v>100</v>
      </c>
    </row>
    <row r="1317" spans="1:7" ht="63.75">
      <c r="A1317" s="241" t="s">
        <v>923</v>
      </c>
      <c r="B1317" s="242" t="s">
        <v>922</v>
      </c>
      <c r="C1317" s="242"/>
      <c r="D1317" s="242"/>
      <c r="E1317" s="453">
        <v>500000</v>
      </c>
      <c r="F1317" s="451">
        <v>500000</v>
      </c>
      <c r="G1317" s="459">
        <f t="shared" si="20"/>
        <v>100</v>
      </c>
    </row>
    <row r="1318" spans="1:7" ht="25.5">
      <c r="A1318" s="241" t="s">
        <v>1319</v>
      </c>
      <c r="B1318" s="242" t="s">
        <v>922</v>
      </c>
      <c r="C1318" s="242" t="s">
        <v>1320</v>
      </c>
      <c r="D1318" s="242"/>
      <c r="E1318" s="453">
        <v>500000</v>
      </c>
      <c r="F1318" s="451">
        <v>500000</v>
      </c>
      <c r="G1318" s="459">
        <f t="shared" si="20"/>
        <v>100</v>
      </c>
    </row>
    <row r="1319" spans="1:7" ht="25.5">
      <c r="A1319" s="241" t="s">
        <v>1196</v>
      </c>
      <c r="B1319" s="242" t="s">
        <v>922</v>
      </c>
      <c r="C1319" s="242" t="s">
        <v>1197</v>
      </c>
      <c r="D1319" s="242"/>
      <c r="E1319" s="453">
        <v>500000</v>
      </c>
      <c r="F1319" s="451">
        <v>500000</v>
      </c>
      <c r="G1319" s="459">
        <f t="shared" si="20"/>
        <v>100</v>
      </c>
    </row>
    <row r="1320" spans="1:7">
      <c r="A1320" s="241" t="s">
        <v>239</v>
      </c>
      <c r="B1320" s="242" t="s">
        <v>922</v>
      </c>
      <c r="C1320" s="242" t="s">
        <v>1197</v>
      </c>
      <c r="D1320" s="242" t="s">
        <v>1141</v>
      </c>
      <c r="E1320" s="453">
        <v>500000</v>
      </c>
      <c r="F1320" s="451">
        <v>500000</v>
      </c>
      <c r="G1320" s="459">
        <f t="shared" si="20"/>
        <v>100</v>
      </c>
    </row>
    <row r="1321" spans="1:7">
      <c r="A1321" s="241" t="s">
        <v>3</v>
      </c>
      <c r="B1321" s="242" t="s">
        <v>922</v>
      </c>
      <c r="C1321" s="242" t="s">
        <v>1197</v>
      </c>
      <c r="D1321" s="242" t="s">
        <v>386</v>
      </c>
      <c r="E1321" s="453">
        <v>500000</v>
      </c>
      <c r="F1321" s="451">
        <v>500000</v>
      </c>
      <c r="G1321" s="459">
        <f t="shared" si="20"/>
        <v>100</v>
      </c>
    </row>
    <row r="1322" spans="1:7" ht="25.5">
      <c r="A1322" s="241" t="s">
        <v>597</v>
      </c>
      <c r="B1322" s="242" t="s">
        <v>998</v>
      </c>
      <c r="C1322" s="242"/>
      <c r="D1322" s="242"/>
      <c r="E1322" s="453">
        <v>750000</v>
      </c>
      <c r="F1322" s="451">
        <v>750000</v>
      </c>
      <c r="G1322" s="459">
        <f t="shared" si="20"/>
        <v>100</v>
      </c>
    </row>
    <row r="1323" spans="1:7" ht="63.75">
      <c r="A1323" s="241" t="s">
        <v>528</v>
      </c>
      <c r="B1323" s="242" t="s">
        <v>736</v>
      </c>
      <c r="C1323" s="242"/>
      <c r="D1323" s="242"/>
      <c r="E1323" s="453">
        <v>750000</v>
      </c>
      <c r="F1323" s="451">
        <v>750000</v>
      </c>
      <c r="G1323" s="459">
        <f t="shared" si="20"/>
        <v>100</v>
      </c>
    </row>
    <row r="1324" spans="1:7">
      <c r="A1324" s="241" t="s">
        <v>1323</v>
      </c>
      <c r="B1324" s="242" t="s">
        <v>736</v>
      </c>
      <c r="C1324" s="242" t="s">
        <v>1324</v>
      </c>
      <c r="D1324" s="242"/>
      <c r="E1324" s="453">
        <v>750000</v>
      </c>
      <c r="F1324" s="451">
        <v>750000</v>
      </c>
      <c r="G1324" s="459">
        <f t="shared" si="20"/>
        <v>100</v>
      </c>
    </row>
    <row r="1325" spans="1:7">
      <c r="A1325" s="241" t="s">
        <v>531</v>
      </c>
      <c r="B1325" s="242" t="s">
        <v>736</v>
      </c>
      <c r="C1325" s="242" t="s">
        <v>532</v>
      </c>
      <c r="D1325" s="242"/>
      <c r="E1325" s="453">
        <v>750000</v>
      </c>
      <c r="F1325" s="451">
        <v>750000</v>
      </c>
      <c r="G1325" s="459">
        <f t="shared" si="20"/>
        <v>100</v>
      </c>
    </row>
    <row r="1326" spans="1:7">
      <c r="A1326" s="241" t="s">
        <v>239</v>
      </c>
      <c r="B1326" s="242" t="s">
        <v>736</v>
      </c>
      <c r="C1326" s="242" t="s">
        <v>532</v>
      </c>
      <c r="D1326" s="242" t="s">
        <v>1141</v>
      </c>
      <c r="E1326" s="453">
        <v>750000</v>
      </c>
      <c r="F1326" s="451">
        <v>750000</v>
      </c>
      <c r="G1326" s="459">
        <f t="shared" si="20"/>
        <v>100</v>
      </c>
    </row>
    <row r="1327" spans="1:7">
      <c r="A1327" s="241" t="s">
        <v>3</v>
      </c>
      <c r="B1327" s="242" t="s">
        <v>736</v>
      </c>
      <c r="C1327" s="242" t="s">
        <v>532</v>
      </c>
      <c r="D1327" s="242" t="s">
        <v>386</v>
      </c>
      <c r="E1327" s="453">
        <v>750000</v>
      </c>
      <c r="F1327" s="451">
        <v>750000</v>
      </c>
      <c r="G1327" s="459">
        <f t="shared" si="20"/>
        <v>100</v>
      </c>
    </row>
    <row r="1328" spans="1:7" ht="25.5">
      <c r="A1328" s="241" t="s">
        <v>1371</v>
      </c>
      <c r="B1328" s="242" t="s">
        <v>999</v>
      </c>
      <c r="C1328" s="242"/>
      <c r="D1328" s="242"/>
      <c r="E1328" s="453">
        <v>186940748.16999999</v>
      </c>
      <c r="F1328" s="451">
        <v>179656636.77000001</v>
      </c>
      <c r="G1328" s="459">
        <f t="shared" si="20"/>
        <v>96.103518643577928</v>
      </c>
    </row>
    <row r="1329" spans="1:7" ht="51">
      <c r="A1329" s="241" t="s">
        <v>1374</v>
      </c>
      <c r="B1329" s="242" t="s">
        <v>1000</v>
      </c>
      <c r="C1329" s="242"/>
      <c r="D1329" s="242"/>
      <c r="E1329" s="453">
        <v>166505233.30000001</v>
      </c>
      <c r="F1329" s="451">
        <v>159396096.43000001</v>
      </c>
      <c r="G1329" s="459">
        <f t="shared" si="20"/>
        <v>95.730382325466522</v>
      </c>
    </row>
    <row r="1330" spans="1:7" ht="127.5">
      <c r="A1330" s="241" t="s">
        <v>2234</v>
      </c>
      <c r="B1330" s="242" t="s">
        <v>2235</v>
      </c>
      <c r="C1330" s="242"/>
      <c r="D1330" s="242"/>
      <c r="E1330" s="453">
        <v>1829220</v>
      </c>
      <c r="F1330" s="451">
        <v>1829220</v>
      </c>
      <c r="G1330" s="459">
        <f t="shared" si="20"/>
        <v>100</v>
      </c>
    </row>
    <row r="1331" spans="1:7">
      <c r="A1331" s="241" t="s">
        <v>1329</v>
      </c>
      <c r="B1331" s="242" t="s">
        <v>2235</v>
      </c>
      <c r="C1331" s="242" t="s">
        <v>1330</v>
      </c>
      <c r="D1331" s="242"/>
      <c r="E1331" s="453">
        <v>1829220</v>
      </c>
      <c r="F1331" s="451">
        <v>1829220</v>
      </c>
      <c r="G1331" s="459">
        <f t="shared" si="20"/>
        <v>100</v>
      </c>
    </row>
    <row r="1332" spans="1:7">
      <c r="A1332" s="241" t="s">
        <v>68</v>
      </c>
      <c r="B1332" s="242" t="s">
        <v>2235</v>
      </c>
      <c r="C1332" s="242" t="s">
        <v>430</v>
      </c>
      <c r="D1332" s="242"/>
      <c r="E1332" s="453">
        <v>1829220</v>
      </c>
      <c r="F1332" s="451">
        <v>1829220</v>
      </c>
      <c r="G1332" s="459">
        <f t="shared" si="20"/>
        <v>100</v>
      </c>
    </row>
    <row r="1333" spans="1:7" ht="38.25">
      <c r="A1333" s="241" t="s">
        <v>1155</v>
      </c>
      <c r="B1333" s="242" t="s">
        <v>2235</v>
      </c>
      <c r="C1333" s="242" t="s">
        <v>430</v>
      </c>
      <c r="D1333" s="242" t="s">
        <v>1156</v>
      </c>
      <c r="E1333" s="453">
        <v>1829220</v>
      </c>
      <c r="F1333" s="451">
        <v>1829220</v>
      </c>
      <c r="G1333" s="459">
        <f t="shared" si="20"/>
        <v>100</v>
      </c>
    </row>
    <row r="1334" spans="1:7">
      <c r="A1334" s="241" t="s">
        <v>250</v>
      </c>
      <c r="B1334" s="242" t="s">
        <v>2235</v>
      </c>
      <c r="C1334" s="242" t="s">
        <v>430</v>
      </c>
      <c r="D1334" s="242" t="s">
        <v>439</v>
      </c>
      <c r="E1334" s="453">
        <v>1829220</v>
      </c>
      <c r="F1334" s="451">
        <v>1829220</v>
      </c>
      <c r="G1334" s="459">
        <f t="shared" si="20"/>
        <v>100</v>
      </c>
    </row>
    <row r="1335" spans="1:7" ht="114.75">
      <c r="A1335" s="241" t="s">
        <v>2115</v>
      </c>
      <c r="B1335" s="242" t="s">
        <v>2116</v>
      </c>
      <c r="C1335" s="242"/>
      <c r="D1335" s="242"/>
      <c r="E1335" s="453">
        <v>5458044</v>
      </c>
      <c r="F1335" s="451">
        <v>5458044</v>
      </c>
      <c r="G1335" s="459">
        <f t="shared" si="20"/>
        <v>100</v>
      </c>
    </row>
    <row r="1336" spans="1:7">
      <c r="A1336" s="241" t="s">
        <v>1329</v>
      </c>
      <c r="B1336" s="242" t="s">
        <v>2116</v>
      </c>
      <c r="C1336" s="242" t="s">
        <v>1330</v>
      </c>
      <c r="D1336" s="242"/>
      <c r="E1336" s="453">
        <v>5458044</v>
      </c>
      <c r="F1336" s="451">
        <v>5458044</v>
      </c>
      <c r="G1336" s="459">
        <f t="shared" si="20"/>
        <v>100</v>
      </c>
    </row>
    <row r="1337" spans="1:7">
      <c r="A1337" s="241" t="s">
        <v>68</v>
      </c>
      <c r="B1337" s="242" t="s">
        <v>2116</v>
      </c>
      <c r="C1337" s="242" t="s">
        <v>430</v>
      </c>
      <c r="D1337" s="242"/>
      <c r="E1337" s="453">
        <v>5458044</v>
      </c>
      <c r="F1337" s="451">
        <v>5458044</v>
      </c>
      <c r="G1337" s="459">
        <f t="shared" si="20"/>
        <v>100</v>
      </c>
    </row>
    <row r="1338" spans="1:7" ht="38.25">
      <c r="A1338" s="241" t="s">
        <v>1155</v>
      </c>
      <c r="B1338" s="242" t="s">
        <v>2116</v>
      </c>
      <c r="C1338" s="242" t="s">
        <v>430</v>
      </c>
      <c r="D1338" s="242" t="s">
        <v>1156</v>
      </c>
      <c r="E1338" s="453">
        <v>5458044</v>
      </c>
      <c r="F1338" s="451">
        <v>5458044</v>
      </c>
      <c r="G1338" s="459">
        <f t="shared" si="20"/>
        <v>100</v>
      </c>
    </row>
    <row r="1339" spans="1:7">
      <c r="A1339" s="241" t="s">
        <v>250</v>
      </c>
      <c r="B1339" s="242" t="s">
        <v>2116</v>
      </c>
      <c r="C1339" s="242" t="s">
        <v>430</v>
      </c>
      <c r="D1339" s="242" t="s">
        <v>439</v>
      </c>
      <c r="E1339" s="453">
        <v>5458044</v>
      </c>
      <c r="F1339" s="451">
        <v>5458044</v>
      </c>
      <c r="G1339" s="459">
        <f t="shared" si="20"/>
        <v>100</v>
      </c>
    </row>
    <row r="1340" spans="1:7" ht="89.25">
      <c r="A1340" s="241" t="s">
        <v>1964</v>
      </c>
      <c r="B1340" s="242" t="s">
        <v>796</v>
      </c>
      <c r="C1340" s="242"/>
      <c r="D1340" s="242"/>
      <c r="E1340" s="453">
        <v>5647725.2999999998</v>
      </c>
      <c r="F1340" s="451">
        <v>5611837.9299999997</v>
      </c>
      <c r="G1340" s="459">
        <f t="shared" si="20"/>
        <v>99.364569484284232</v>
      </c>
    </row>
    <row r="1341" spans="1:7">
      <c r="A1341" s="241" t="s">
        <v>1329</v>
      </c>
      <c r="B1341" s="242" t="s">
        <v>796</v>
      </c>
      <c r="C1341" s="242" t="s">
        <v>1330</v>
      </c>
      <c r="D1341" s="242"/>
      <c r="E1341" s="453">
        <v>5647725.2999999998</v>
      </c>
      <c r="F1341" s="451">
        <v>5611837.9299999997</v>
      </c>
      <c r="G1341" s="459">
        <f t="shared" si="20"/>
        <v>99.364569484284232</v>
      </c>
    </row>
    <row r="1342" spans="1:7">
      <c r="A1342" s="241" t="s">
        <v>434</v>
      </c>
      <c r="B1342" s="242" t="s">
        <v>796</v>
      </c>
      <c r="C1342" s="242" t="s">
        <v>435</v>
      </c>
      <c r="D1342" s="242"/>
      <c r="E1342" s="453">
        <v>5647725.2999999998</v>
      </c>
      <c r="F1342" s="451">
        <v>5611837.9299999997</v>
      </c>
      <c r="G1342" s="459">
        <f t="shared" si="20"/>
        <v>99.364569484284232</v>
      </c>
    </row>
    <row r="1343" spans="1:7">
      <c r="A1343" s="241" t="s">
        <v>187</v>
      </c>
      <c r="B1343" s="242" t="s">
        <v>796</v>
      </c>
      <c r="C1343" s="242" t="s">
        <v>435</v>
      </c>
      <c r="D1343" s="242" t="s">
        <v>1154</v>
      </c>
      <c r="E1343" s="453">
        <v>5647725.2999999998</v>
      </c>
      <c r="F1343" s="451">
        <v>5611837.9299999997</v>
      </c>
      <c r="G1343" s="459">
        <f t="shared" si="20"/>
        <v>99.364569484284232</v>
      </c>
    </row>
    <row r="1344" spans="1:7">
      <c r="A1344" s="241" t="s">
        <v>188</v>
      </c>
      <c r="B1344" s="242" t="s">
        <v>796</v>
      </c>
      <c r="C1344" s="242" t="s">
        <v>435</v>
      </c>
      <c r="D1344" s="242" t="s">
        <v>433</v>
      </c>
      <c r="E1344" s="453">
        <v>5647725.2999999998</v>
      </c>
      <c r="F1344" s="451">
        <v>5611837.9299999997</v>
      </c>
      <c r="G1344" s="459">
        <f t="shared" si="20"/>
        <v>99.364569484284232</v>
      </c>
    </row>
    <row r="1345" spans="1:7" ht="114.75">
      <c r="A1345" s="241" t="s">
        <v>1479</v>
      </c>
      <c r="B1345" s="242" t="s">
        <v>794</v>
      </c>
      <c r="C1345" s="242"/>
      <c r="D1345" s="242"/>
      <c r="E1345" s="453">
        <v>311600</v>
      </c>
      <c r="F1345" s="451">
        <v>311600</v>
      </c>
      <c r="G1345" s="459">
        <f t="shared" si="20"/>
        <v>100</v>
      </c>
    </row>
    <row r="1346" spans="1:7">
      <c r="A1346" s="241" t="s">
        <v>1329</v>
      </c>
      <c r="B1346" s="242" t="s">
        <v>794</v>
      </c>
      <c r="C1346" s="242" t="s">
        <v>1330</v>
      </c>
      <c r="D1346" s="242"/>
      <c r="E1346" s="453">
        <v>311600</v>
      </c>
      <c r="F1346" s="451">
        <v>311600</v>
      </c>
      <c r="G1346" s="459">
        <f t="shared" si="20"/>
        <v>100</v>
      </c>
    </row>
    <row r="1347" spans="1:7">
      <c r="A1347" s="241" t="s">
        <v>434</v>
      </c>
      <c r="B1347" s="242" t="s">
        <v>794</v>
      </c>
      <c r="C1347" s="242" t="s">
        <v>435</v>
      </c>
      <c r="D1347" s="242"/>
      <c r="E1347" s="453">
        <v>311600</v>
      </c>
      <c r="F1347" s="451">
        <v>311600</v>
      </c>
      <c r="G1347" s="459">
        <f t="shared" si="20"/>
        <v>100</v>
      </c>
    </row>
    <row r="1348" spans="1:7">
      <c r="A1348" s="241" t="s">
        <v>234</v>
      </c>
      <c r="B1348" s="242" t="s">
        <v>794</v>
      </c>
      <c r="C1348" s="242" t="s">
        <v>435</v>
      </c>
      <c r="D1348" s="242" t="s">
        <v>1135</v>
      </c>
      <c r="E1348" s="453">
        <v>311600</v>
      </c>
      <c r="F1348" s="451">
        <v>311600</v>
      </c>
      <c r="G1348" s="459">
        <f t="shared" si="20"/>
        <v>100</v>
      </c>
    </row>
    <row r="1349" spans="1:7">
      <c r="A1349" s="241" t="s">
        <v>217</v>
      </c>
      <c r="B1349" s="242" t="s">
        <v>794</v>
      </c>
      <c r="C1349" s="242" t="s">
        <v>435</v>
      </c>
      <c r="D1349" s="242" t="s">
        <v>337</v>
      </c>
      <c r="E1349" s="453">
        <v>311600</v>
      </c>
      <c r="F1349" s="451">
        <v>311600</v>
      </c>
      <c r="G1349" s="459">
        <f t="shared" si="20"/>
        <v>100</v>
      </c>
    </row>
    <row r="1350" spans="1:7" ht="153">
      <c r="A1350" s="241" t="s">
        <v>2162</v>
      </c>
      <c r="B1350" s="242" t="s">
        <v>2163</v>
      </c>
      <c r="C1350" s="242"/>
      <c r="D1350" s="242"/>
      <c r="E1350" s="453">
        <v>60210</v>
      </c>
      <c r="F1350" s="451">
        <v>60210</v>
      </c>
      <c r="G1350" s="459">
        <f t="shared" si="20"/>
        <v>100</v>
      </c>
    </row>
    <row r="1351" spans="1:7">
      <c r="A1351" s="241" t="s">
        <v>1329</v>
      </c>
      <c r="B1351" s="242" t="s">
        <v>2163</v>
      </c>
      <c r="C1351" s="242" t="s">
        <v>1330</v>
      </c>
      <c r="D1351" s="242"/>
      <c r="E1351" s="453">
        <v>60210</v>
      </c>
      <c r="F1351" s="451">
        <v>60210</v>
      </c>
      <c r="G1351" s="459">
        <f t="shared" ref="G1351:G1414" si="21">F1351/E1351*100</f>
        <v>100</v>
      </c>
    </row>
    <row r="1352" spans="1:7">
      <c r="A1352" s="241" t="s">
        <v>68</v>
      </c>
      <c r="B1352" s="242" t="s">
        <v>2163</v>
      </c>
      <c r="C1352" s="242" t="s">
        <v>430</v>
      </c>
      <c r="D1352" s="242"/>
      <c r="E1352" s="453">
        <v>60210</v>
      </c>
      <c r="F1352" s="451">
        <v>60210</v>
      </c>
      <c r="G1352" s="459">
        <f t="shared" si="21"/>
        <v>100</v>
      </c>
    </row>
    <row r="1353" spans="1:7">
      <c r="A1353" s="241" t="s">
        <v>2159</v>
      </c>
      <c r="B1353" s="242" t="s">
        <v>2163</v>
      </c>
      <c r="C1353" s="242" t="s">
        <v>430</v>
      </c>
      <c r="D1353" s="242" t="s">
        <v>2160</v>
      </c>
      <c r="E1353" s="453">
        <v>60210</v>
      </c>
      <c r="F1353" s="451">
        <v>60210</v>
      </c>
      <c r="G1353" s="459">
        <f t="shared" si="21"/>
        <v>100</v>
      </c>
    </row>
    <row r="1354" spans="1:7">
      <c r="A1354" s="241" t="s">
        <v>2161</v>
      </c>
      <c r="B1354" s="242" t="s">
        <v>2163</v>
      </c>
      <c r="C1354" s="242" t="s">
        <v>430</v>
      </c>
      <c r="D1354" s="242" t="s">
        <v>373</v>
      </c>
      <c r="E1354" s="453">
        <v>60210</v>
      </c>
      <c r="F1354" s="451">
        <v>60210</v>
      </c>
      <c r="G1354" s="459">
        <f t="shared" si="21"/>
        <v>100</v>
      </c>
    </row>
    <row r="1355" spans="1:7" ht="114.75">
      <c r="A1355" s="241" t="s">
        <v>1377</v>
      </c>
      <c r="B1355" s="242" t="s">
        <v>801</v>
      </c>
      <c r="C1355" s="242"/>
      <c r="D1355" s="242"/>
      <c r="E1355" s="453">
        <v>47081000</v>
      </c>
      <c r="F1355" s="451">
        <v>47081000</v>
      </c>
      <c r="G1355" s="459">
        <f t="shared" si="21"/>
        <v>100</v>
      </c>
    </row>
    <row r="1356" spans="1:7">
      <c r="A1356" s="241" t="s">
        <v>1329</v>
      </c>
      <c r="B1356" s="242" t="s">
        <v>801</v>
      </c>
      <c r="C1356" s="242" t="s">
        <v>1330</v>
      </c>
      <c r="D1356" s="242"/>
      <c r="E1356" s="453">
        <v>47081000</v>
      </c>
      <c r="F1356" s="451">
        <v>47081000</v>
      </c>
      <c r="G1356" s="459">
        <f t="shared" si="21"/>
        <v>100</v>
      </c>
    </row>
    <row r="1357" spans="1:7">
      <c r="A1357" s="241" t="s">
        <v>1208</v>
      </c>
      <c r="B1357" s="242" t="s">
        <v>801</v>
      </c>
      <c r="C1357" s="242" t="s">
        <v>1209</v>
      </c>
      <c r="D1357" s="242"/>
      <c r="E1357" s="453">
        <v>47081000</v>
      </c>
      <c r="F1357" s="451">
        <v>47081000</v>
      </c>
      <c r="G1357" s="459">
        <f t="shared" si="21"/>
        <v>100</v>
      </c>
    </row>
    <row r="1358" spans="1:7" ht="38.25">
      <c r="A1358" s="241" t="s">
        <v>1155</v>
      </c>
      <c r="B1358" s="242" t="s">
        <v>801</v>
      </c>
      <c r="C1358" s="242" t="s">
        <v>1209</v>
      </c>
      <c r="D1358" s="242" t="s">
        <v>1156</v>
      </c>
      <c r="E1358" s="453">
        <v>47081000</v>
      </c>
      <c r="F1358" s="451">
        <v>47081000</v>
      </c>
      <c r="G1358" s="459">
        <f t="shared" si="21"/>
        <v>100</v>
      </c>
    </row>
    <row r="1359" spans="1:7" ht="38.25">
      <c r="A1359" s="241" t="s">
        <v>211</v>
      </c>
      <c r="B1359" s="242" t="s">
        <v>801</v>
      </c>
      <c r="C1359" s="242" t="s">
        <v>1209</v>
      </c>
      <c r="D1359" s="242" t="s">
        <v>437</v>
      </c>
      <c r="E1359" s="453">
        <v>47081000</v>
      </c>
      <c r="F1359" s="451">
        <v>47081000</v>
      </c>
      <c r="G1359" s="459">
        <f t="shared" si="21"/>
        <v>100</v>
      </c>
    </row>
    <row r="1360" spans="1:7" ht="102">
      <c r="A1360" s="241" t="s">
        <v>2165</v>
      </c>
      <c r="B1360" s="242" t="s">
        <v>2166</v>
      </c>
      <c r="C1360" s="242"/>
      <c r="D1360" s="242"/>
      <c r="E1360" s="453">
        <v>2763258</v>
      </c>
      <c r="F1360" s="451">
        <v>2763258</v>
      </c>
      <c r="G1360" s="459">
        <f t="shared" si="21"/>
        <v>100</v>
      </c>
    </row>
    <row r="1361" spans="1:7">
      <c r="A1361" s="241" t="s">
        <v>1329</v>
      </c>
      <c r="B1361" s="242" t="s">
        <v>2166</v>
      </c>
      <c r="C1361" s="242" t="s">
        <v>1330</v>
      </c>
      <c r="D1361" s="242"/>
      <c r="E1361" s="453">
        <v>2763258</v>
      </c>
      <c r="F1361" s="451">
        <v>2763258</v>
      </c>
      <c r="G1361" s="459">
        <f t="shared" si="21"/>
        <v>100</v>
      </c>
    </row>
    <row r="1362" spans="1:7">
      <c r="A1362" s="241" t="s">
        <v>68</v>
      </c>
      <c r="B1362" s="242" t="s">
        <v>2166</v>
      </c>
      <c r="C1362" s="242" t="s">
        <v>430</v>
      </c>
      <c r="D1362" s="242"/>
      <c r="E1362" s="453">
        <v>2763258</v>
      </c>
      <c r="F1362" s="451">
        <v>2763258</v>
      </c>
      <c r="G1362" s="459">
        <f t="shared" si="21"/>
        <v>100</v>
      </c>
    </row>
    <row r="1363" spans="1:7" ht="38.25">
      <c r="A1363" s="241" t="s">
        <v>1155</v>
      </c>
      <c r="B1363" s="242" t="s">
        <v>2166</v>
      </c>
      <c r="C1363" s="242" t="s">
        <v>430</v>
      </c>
      <c r="D1363" s="242" t="s">
        <v>1156</v>
      </c>
      <c r="E1363" s="453">
        <v>2763258</v>
      </c>
      <c r="F1363" s="451">
        <v>2763258</v>
      </c>
      <c r="G1363" s="459">
        <f t="shared" si="21"/>
        <v>100</v>
      </c>
    </row>
    <row r="1364" spans="1:7">
      <c r="A1364" s="241" t="s">
        <v>250</v>
      </c>
      <c r="B1364" s="242" t="s">
        <v>2166</v>
      </c>
      <c r="C1364" s="242" t="s">
        <v>430</v>
      </c>
      <c r="D1364" s="242" t="s">
        <v>439</v>
      </c>
      <c r="E1364" s="453">
        <v>2763258</v>
      </c>
      <c r="F1364" s="451">
        <v>2763258</v>
      </c>
      <c r="G1364" s="459">
        <f t="shared" si="21"/>
        <v>100</v>
      </c>
    </row>
    <row r="1365" spans="1:7" ht="89.25">
      <c r="A1365" s="241" t="s">
        <v>1486</v>
      </c>
      <c r="B1365" s="242" t="s">
        <v>803</v>
      </c>
      <c r="C1365" s="242"/>
      <c r="D1365" s="242"/>
      <c r="E1365" s="453">
        <v>45183322</v>
      </c>
      <c r="F1365" s="451">
        <v>38177541</v>
      </c>
      <c r="G1365" s="459">
        <f t="shared" si="21"/>
        <v>84.494763355381437</v>
      </c>
    </row>
    <row r="1366" spans="1:7">
      <c r="A1366" s="241" t="s">
        <v>1329</v>
      </c>
      <c r="B1366" s="242" t="s">
        <v>803</v>
      </c>
      <c r="C1366" s="242" t="s">
        <v>1330</v>
      </c>
      <c r="D1366" s="242"/>
      <c r="E1366" s="453">
        <v>45183322</v>
      </c>
      <c r="F1366" s="451">
        <v>38177541</v>
      </c>
      <c r="G1366" s="459">
        <f t="shared" si="21"/>
        <v>84.494763355381437</v>
      </c>
    </row>
    <row r="1367" spans="1:7">
      <c r="A1367" s="241" t="s">
        <v>68</v>
      </c>
      <c r="B1367" s="242" t="s">
        <v>803</v>
      </c>
      <c r="C1367" s="242" t="s">
        <v>430</v>
      </c>
      <c r="D1367" s="242"/>
      <c r="E1367" s="453">
        <v>45183322</v>
      </c>
      <c r="F1367" s="451">
        <v>38177541</v>
      </c>
      <c r="G1367" s="459">
        <f t="shared" si="21"/>
        <v>84.494763355381437</v>
      </c>
    </row>
    <row r="1368" spans="1:7" ht="38.25">
      <c r="A1368" s="241" t="s">
        <v>1155</v>
      </c>
      <c r="B1368" s="242" t="s">
        <v>803</v>
      </c>
      <c r="C1368" s="242" t="s">
        <v>430</v>
      </c>
      <c r="D1368" s="242" t="s">
        <v>1156</v>
      </c>
      <c r="E1368" s="453">
        <v>45183322</v>
      </c>
      <c r="F1368" s="451">
        <v>38177541</v>
      </c>
      <c r="G1368" s="459">
        <f t="shared" si="21"/>
        <v>84.494763355381437</v>
      </c>
    </row>
    <row r="1369" spans="1:7">
      <c r="A1369" s="241" t="s">
        <v>250</v>
      </c>
      <c r="B1369" s="242" t="s">
        <v>803</v>
      </c>
      <c r="C1369" s="242" t="s">
        <v>430</v>
      </c>
      <c r="D1369" s="242" t="s">
        <v>439</v>
      </c>
      <c r="E1369" s="453">
        <v>45183322</v>
      </c>
      <c r="F1369" s="451">
        <v>38177541</v>
      </c>
      <c r="G1369" s="459">
        <f t="shared" si="21"/>
        <v>84.494763355381437</v>
      </c>
    </row>
    <row r="1370" spans="1:7" ht="89.25">
      <c r="A1370" s="241" t="s">
        <v>540</v>
      </c>
      <c r="B1370" s="242" t="s">
        <v>802</v>
      </c>
      <c r="C1370" s="242"/>
      <c r="D1370" s="242"/>
      <c r="E1370" s="453">
        <v>50308400</v>
      </c>
      <c r="F1370" s="451">
        <v>50308400</v>
      </c>
      <c r="G1370" s="459">
        <f t="shared" si="21"/>
        <v>100</v>
      </c>
    </row>
    <row r="1371" spans="1:7">
      <c r="A1371" s="241" t="s">
        <v>1329</v>
      </c>
      <c r="B1371" s="242" t="s">
        <v>802</v>
      </c>
      <c r="C1371" s="242" t="s">
        <v>1330</v>
      </c>
      <c r="D1371" s="242"/>
      <c r="E1371" s="453">
        <v>50308400</v>
      </c>
      <c r="F1371" s="451">
        <v>50308400</v>
      </c>
      <c r="G1371" s="459">
        <f t="shared" si="21"/>
        <v>100</v>
      </c>
    </row>
    <row r="1372" spans="1:7">
      <c r="A1372" s="241" t="s">
        <v>1208</v>
      </c>
      <c r="B1372" s="242" t="s">
        <v>802</v>
      </c>
      <c r="C1372" s="242" t="s">
        <v>1209</v>
      </c>
      <c r="D1372" s="242"/>
      <c r="E1372" s="453">
        <v>50308400</v>
      </c>
      <c r="F1372" s="451">
        <v>50308400</v>
      </c>
      <c r="G1372" s="459">
        <f t="shared" si="21"/>
        <v>100</v>
      </c>
    </row>
    <row r="1373" spans="1:7" ht="38.25">
      <c r="A1373" s="241" t="s">
        <v>1155</v>
      </c>
      <c r="B1373" s="242" t="s">
        <v>802</v>
      </c>
      <c r="C1373" s="242" t="s">
        <v>1209</v>
      </c>
      <c r="D1373" s="242" t="s">
        <v>1156</v>
      </c>
      <c r="E1373" s="453">
        <v>50308400</v>
      </c>
      <c r="F1373" s="451">
        <v>50308400</v>
      </c>
      <c r="G1373" s="459">
        <f t="shared" si="21"/>
        <v>100</v>
      </c>
    </row>
    <row r="1374" spans="1:7" ht="38.25">
      <c r="A1374" s="241" t="s">
        <v>211</v>
      </c>
      <c r="B1374" s="242" t="s">
        <v>802</v>
      </c>
      <c r="C1374" s="242" t="s">
        <v>1209</v>
      </c>
      <c r="D1374" s="242" t="s">
        <v>437</v>
      </c>
      <c r="E1374" s="453">
        <v>50308400</v>
      </c>
      <c r="F1374" s="451">
        <v>50308400</v>
      </c>
      <c r="G1374" s="459">
        <f t="shared" si="21"/>
        <v>100</v>
      </c>
    </row>
    <row r="1375" spans="1:7" ht="114.75">
      <c r="A1375" s="241" t="s">
        <v>2167</v>
      </c>
      <c r="B1375" s="242" t="s">
        <v>2168</v>
      </c>
      <c r="C1375" s="242"/>
      <c r="D1375" s="242"/>
      <c r="E1375" s="453">
        <v>6568154</v>
      </c>
      <c r="F1375" s="451">
        <v>6500685.5</v>
      </c>
      <c r="G1375" s="459">
        <f t="shared" si="21"/>
        <v>98.972793573354096</v>
      </c>
    </row>
    <row r="1376" spans="1:7">
      <c r="A1376" s="241" t="s">
        <v>1329</v>
      </c>
      <c r="B1376" s="242" t="s">
        <v>2168</v>
      </c>
      <c r="C1376" s="242" t="s">
        <v>1330</v>
      </c>
      <c r="D1376" s="242"/>
      <c r="E1376" s="453">
        <v>6568154</v>
      </c>
      <c r="F1376" s="451">
        <v>6500685.5</v>
      </c>
      <c r="G1376" s="459">
        <f t="shared" si="21"/>
        <v>98.972793573354096</v>
      </c>
    </row>
    <row r="1377" spans="1:7">
      <c r="A1377" s="241" t="s">
        <v>68</v>
      </c>
      <c r="B1377" s="242" t="s">
        <v>2168</v>
      </c>
      <c r="C1377" s="242" t="s">
        <v>430</v>
      </c>
      <c r="D1377" s="242"/>
      <c r="E1377" s="453">
        <v>6568154</v>
      </c>
      <c r="F1377" s="451">
        <v>6500685.5</v>
      </c>
      <c r="G1377" s="459">
        <f t="shared" si="21"/>
        <v>98.972793573354096</v>
      </c>
    </row>
    <row r="1378" spans="1:7" ht="38.25">
      <c r="A1378" s="241" t="s">
        <v>1155</v>
      </c>
      <c r="B1378" s="242" t="s">
        <v>2168</v>
      </c>
      <c r="C1378" s="242" t="s">
        <v>430</v>
      </c>
      <c r="D1378" s="242" t="s">
        <v>1156</v>
      </c>
      <c r="E1378" s="453">
        <v>6568154</v>
      </c>
      <c r="F1378" s="451">
        <v>6500685.5</v>
      </c>
      <c r="G1378" s="459">
        <f t="shared" si="21"/>
        <v>98.972793573354096</v>
      </c>
    </row>
    <row r="1379" spans="1:7">
      <c r="A1379" s="241" t="s">
        <v>250</v>
      </c>
      <c r="B1379" s="242" t="s">
        <v>2168</v>
      </c>
      <c r="C1379" s="242" t="s">
        <v>430</v>
      </c>
      <c r="D1379" s="242" t="s">
        <v>439</v>
      </c>
      <c r="E1379" s="453">
        <v>6568154</v>
      </c>
      <c r="F1379" s="451">
        <v>6500685.5</v>
      </c>
      <c r="G1379" s="459">
        <f t="shared" si="21"/>
        <v>98.972793573354096</v>
      </c>
    </row>
    <row r="1380" spans="1:7" ht="102">
      <c r="A1380" s="241" t="s">
        <v>2209</v>
      </c>
      <c r="B1380" s="242" t="s">
        <v>2210</v>
      </c>
      <c r="C1380" s="242"/>
      <c r="D1380" s="242"/>
      <c r="E1380" s="453">
        <v>1294300</v>
      </c>
      <c r="F1380" s="451">
        <v>1294300</v>
      </c>
      <c r="G1380" s="459">
        <f t="shared" si="21"/>
        <v>100</v>
      </c>
    </row>
    <row r="1381" spans="1:7">
      <c r="A1381" s="241" t="s">
        <v>1329</v>
      </c>
      <c r="B1381" s="242" t="s">
        <v>2210</v>
      </c>
      <c r="C1381" s="242" t="s">
        <v>1330</v>
      </c>
      <c r="D1381" s="242"/>
      <c r="E1381" s="453">
        <v>1294300</v>
      </c>
      <c r="F1381" s="451">
        <v>1294300</v>
      </c>
      <c r="G1381" s="459">
        <f t="shared" si="21"/>
        <v>100</v>
      </c>
    </row>
    <row r="1382" spans="1:7">
      <c r="A1382" s="241" t="s">
        <v>68</v>
      </c>
      <c r="B1382" s="242" t="s">
        <v>2210</v>
      </c>
      <c r="C1382" s="242" t="s">
        <v>430</v>
      </c>
      <c r="D1382" s="242"/>
      <c r="E1382" s="453">
        <v>1294300</v>
      </c>
      <c r="F1382" s="451">
        <v>1294300</v>
      </c>
      <c r="G1382" s="459">
        <f t="shared" si="21"/>
        <v>100</v>
      </c>
    </row>
    <row r="1383" spans="1:7">
      <c r="A1383" s="241" t="s">
        <v>239</v>
      </c>
      <c r="B1383" s="242" t="s">
        <v>2210</v>
      </c>
      <c r="C1383" s="242" t="s">
        <v>430</v>
      </c>
      <c r="D1383" s="242" t="s">
        <v>1141</v>
      </c>
      <c r="E1383" s="453">
        <v>1294300</v>
      </c>
      <c r="F1383" s="451">
        <v>1294300</v>
      </c>
      <c r="G1383" s="459">
        <f t="shared" si="21"/>
        <v>100</v>
      </c>
    </row>
    <row r="1384" spans="1:7">
      <c r="A1384" s="241" t="s">
        <v>37</v>
      </c>
      <c r="B1384" s="242" t="s">
        <v>2210</v>
      </c>
      <c r="C1384" s="242" t="s">
        <v>430</v>
      </c>
      <c r="D1384" s="242" t="s">
        <v>388</v>
      </c>
      <c r="E1384" s="453">
        <v>1294300</v>
      </c>
      <c r="F1384" s="451">
        <v>1294300</v>
      </c>
      <c r="G1384" s="459">
        <f t="shared" si="21"/>
        <v>100</v>
      </c>
    </row>
    <row r="1385" spans="1:7" ht="25.5">
      <c r="A1385" s="241" t="s">
        <v>492</v>
      </c>
      <c r="B1385" s="242" t="s">
        <v>1001</v>
      </c>
      <c r="C1385" s="242"/>
      <c r="D1385" s="242"/>
      <c r="E1385" s="453">
        <v>20435514.870000001</v>
      </c>
      <c r="F1385" s="451">
        <v>20260540.34</v>
      </c>
      <c r="G1385" s="459">
        <f t="shared" si="21"/>
        <v>99.143772343818597</v>
      </c>
    </row>
    <row r="1386" spans="1:7" ht="89.25">
      <c r="A1386" s="241" t="s">
        <v>2232</v>
      </c>
      <c r="B1386" s="242" t="s">
        <v>2233</v>
      </c>
      <c r="C1386" s="242"/>
      <c r="D1386" s="242"/>
      <c r="E1386" s="453">
        <v>113970</v>
      </c>
      <c r="F1386" s="451">
        <v>113970</v>
      </c>
      <c r="G1386" s="459">
        <f t="shared" si="21"/>
        <v>100</v>
      </c>
    </row>
    <row r="1387" spans="1:7" ht="63.75">
      <c r="A1387" s="241" t="s">
        <v>1318</v>
      </c>
      <c r="B1387" s="242" t="s">
        <v>2233</v>
      </c>
      <c r="C1387" s="242" t="s">
        <v>273</v>
      </c>
      <c r="D1387" s="242"/>
      <c r="E1387" s="453">
        <v>113970</v>
      </c>
      <c r="F1387" s="451">
        <v>113970</v>
      </c>
      <c r="G1387" s="459">
        <f t="shared" si="21"/>
        <v>100</v>
      </c>
    </row>
    <row r="1388" spans="1:7" ht="25.5">
      <c r="A1388" s="241" t="s">
        <v>1203</v>
      </c>
      <c r="B1388" s="242" t="s">
        <v>2233</v>
      </c>
      <c r="C1388" s="242" t="s">
        <v>28</v>
      </c>
      <c r="D1388" s="242"/>
      <c r="E1388" s="453">
        <v>113970</v>
      </c>
      <c r="F1388" s="451">
        <v>113970</v>
      </c>
      <c r="G1388" s="459">
        <f t="shared" si="21"/>
        <v>100</v>
      </c>
    </row>
    <row r="1389" spans="1:7">
      <c r="A1389" s="241" t="s">
        <v>234</v>
      </c>
      <c r="B1389" s="242" t="s">
        <v>2233</v>
      </c>
      <c r="C1389" s="242" t="s">
        <v>28</v>
      </c>
      <c r="D1389" s="242" t="s">
        <v>1135</v>
      </c>
      <c r="E1389" s="453">
        <v>113970</v>
      </c>
      <c r="F1389" s="451">
        <v>113970</v>
      </c>
      <c r="G1389" s="459">
        <f t="shared" si="21"/>
        <v>100</v>
      </c>
    </row>
    <row r="1390" spans="1:7" ht="38.25">
      <c r="A1390" s="241" t="s">
        <v>216</v>
      </c>
      <c r="B1390" s="242" t="s">
        <v>2233</v>
      </c>
      <c r="C1390" s="242" t="s">
        <v>28</v>
      </c>
      <c r="D1390" s="242" t="s">
        <v>331</v>
      </c>
      <c r="E1390" s="453">
        <v>113970</v>
      </c>
      <c r="F1390" s="451">
        <v>113970</v>
      </c>
      <c r="G1390" s="459">
        <f t="shared" si="21"/>
        <v>100</v>
      </c>
    </row>
    <row r="1391" spans="1:7" ht="114.75">
      <c r="A1391" s="241" t="s">
        <v>2108</v>
      </c>
      <c r="B1391" s="242" t="s">
        <v>2109</v>
      </c>
      <c r="C1391" s="242"/>
      <c r="D1391" s="242"/>
      <c r="E1391" s="453">
        <v>115770</v>
      </c>
      <c r="F1391" s="451">
        <v>115770</v>
      </c>
      <c r="G1391" s="459">
        <f t="shared" si="21"/>
        <v>100</v>
      </c>
    </row>
    <row r="1392" spans="1:7" ht="63.75">
      <c r="A1392" s="241" t="s">
        <v>1318</v>
      </c>
      <c r="B1392" s="242" t="s">
        <v>2109</v>
      </c>
      <c r="C1392" s="242" t="s">
        <v>273</v>
      </c>
      <c r="D1392" s="242"/>
      <c r="E1392" s="453">
        <v>115770</v>
      </c>
      <c r="F1392" s="451">
        <v>115770</v>
      </c>
      <c r="G1392" s="459">
        <f t="shared" si="21"/>
        <v>100</v>
      </c>
    </row>
    <row r="1393" spans="1:7" ht="25.5">
      <c r="A1393" s="241" t="s">
        <v>1203</v>
      </c>
      <c r="B1393" s="242" t="s">
        <v>2109</v>
      </c>
      <c r="C1393" s="242" t="s">
        <v>28</v>
      </c>
      <c r="D1393" s="242"/>
      <c r="E1393" s="453">
        <v>115770</v>
      </c>
      <c r="F1393" s="451">
        <v>115770</v>
      </c>
      <c r="G1393" s="459">
        <f t="shared" si="21"/>
        <v>100</v>
      </c>
    </row>
    <row r="1394" spans="1:7">
      <c r="A1394" s="241" t="s">
        <v>234</v>
      </c>
      <c r="B1394" s="242" t="s">
        <v>2109</v>
      </c>
      <c r="C1394" s="242" t="s">
        <v>28</v>
      </c>
      <c r="D1394" s="242" t="s">
        <v>1135</v>
      </c>
      <c r="E1394" s="453">
        <v>115770</v>
      </c>
      <c r="F1394" s="451">
        <v>115770</v>
      </c>
      <c r="G1394" s="459">
        <f t="shared" si="21"/>
        <v>100</v>
      </c>
    </row>
    <row r="1395" spans="1:7" ht="38.25">
      <c r="A1395" s="241" t="s">
        <v>216</v>
      </c>
      <c r="B1395" s="242" t="s">
        <v>2109</v>
      </c>
      <c r="C1395" s="242" t="s">
        <v>28</v>
      </c>
      <c r="D1395" s="242" t="s">
        <v>331</v>
      </c>
      <c r="E1395" s="453">
        <v>115770</v>
      </c>
      <c r="F1395" s="451">
        <v>115770</v>
      </c>
      <c r="G1395" s="459">
        <f t="shared" si="21"/>
        <v>100</v>
      </c>
    </row>
    <row r="1396" spans="1:7" ht="76.5">
      <c r="A1396" s="241" t="s">
        <v>2110</v>
      </c>
      <c r="B1396" s="242" t="s">
        <v>2111</v>
      </c>
      <c r="C1396" s="242"/>
      <c r="D1396" s="242"/>
      <c r="E1396" s="453">
        <v>748621</v>
      </c>
      <c r="F1396" s="451">
        <v>748621</v>
      </c>
      <c r="G1396" s="459">
        <f t="shared" si="21"/>
        <v>100</v>
      </c>
    </row>
    <row r="1397" spans="1:7" ht="63.75">
      <c r="A1397" s="241" t="s">
        <v>1318</v>
      </c>
      <c r="B1397" s="242" t="s">
        <v>2111</v>
      </c>
      <c r="C1397" s="242" t="s">
        <v>273</v>
      </c>
      <c r="D1397" s="242"/>
      <c r="E1397" s="453">
        <v>748621</v>
      </c>
      <c r="F1397" s="451">
        <v>748621</v>
      </c>
      <c r="G1397" s="459">
        <f t="shared" si="21"/>
        <v>100</v>
      </c>
    </row>
    <row r="1398" spans="1:7" ht="25.5">
      <c r="A1398" s="241" t="s">
        <v>1203</v>
      </c>
      <c r="B1398" s="242" t="s">
        <v>2111</v>
      </c>
      <c r="C1398" s="242" t="s">
        <v>28</v>
      </c>
      <c r="D1398" s="242"/>
      <c r="E1398" s="453">
        <v>748621</v>
      </c>
      <c r="F1398" s="451">
        <v>748621</v>
      </c>
      <c r="G1398" s="459">
        <f t="shared" si="21"/>
        <v>100</v>
      </c>
    </row>
    <row r="1399" spans="1:7">
      <c r="A1399" s="241" t="s">
        <v>234</v>
      </c>
      <c r="B1399" s="242" t="s">
        <v>2111</v>
      </c>
      <c r="C1399" s="242" t="s">
        <v>28</v>
      </c>
      <c r="D1399" s="242" t="s">
        <v>1135</v>
      </c>
      <c r="E1399" s="453">
        <v>748621</v>
      </c>
      <c r="F1399" s="451">
        <v>748621</v>
      </c>
      <c r="G1399" s="459">
        <f t="shared" si="21"/>
        <v>100</v>
      </c>
    </row>
    <row r="1400" spans="1:7" ht="38.25">
      <c r="A1400" s="241" t="s">
        <v>216</v>
      </c>
      <c r="B1400" s="242" t="s">
        <v>2111</v>
      </c>
      <c r="C1400" s="242" t="s">
        <v>28</v>
      </c>
      <c r="D1400" s="242" t="s">
        <v>331</v>
      </c>
      <c r="E1400" s="453">
        <v>748621</v>
      </c>
      <c r="F1400" s="451">
        <v>748621</v>
      </c>
      <c r="G1400" s="459">
        <f t="shared" si="21"/>
        <v>100</v>
      </c>
    </row>
    <row r="1401" spans="1:7" ht="63.75">
      <c r="A1401" s="241" t="s">
        <v>425</v>
      </c>
      <c r="B1401" s="242" t="s">
        <v>788</v>
      </c>
      <c r="C1401" s="242"/>
      <c r="D1401" s="242"/>
      <c r="E1401" s="453">
        <v>15244442.609999999</v>
      </c>
      <c r="F1401" s="451">
        <v>15225361.92</v>
      </c>
      <c r="G1401" s="459">
        <f t="shared" si="21"/>
        <v>99.874835108844962</v>
      </c>
    </row>
    <row r="1402" spans="1:7" ht="63.75">
      <c r="A1402" s="241" t="s">
        <v>1318</v>
      </c>
      <c r="B1402" s="242" t="s">
        <v>788</v>
      </c>
      <c r="C1402" s="242" t="s">
        <v>273</v>
      </c>
      <c r="D1402" s="242"/>
      <c r="E1402" s="453">
        <v>13336032.6</v>
      </c>
      <c r="F1402" s="451">
        <v>13324025.6</v>
      </c>
      <c r="G1402" s="459">
        <f t="shared" si="21"/>
        <v>99.909965726988403</v>
      </c>
    </row>
    <row r="1403" spans="1:7" ht="25.5">
      <c r="A1403" s="241" t="s">
        <v>1203</v>
      </c>
      <c r="B1403" s="242" t="s">
        <v>788</v>
      </c>
      <c r="C1403" s="242" t="s">
        <v>28</v>
      </c>
      <c r="D1403" s="242"/>
      <c r="E1403" s="453">
        <v>13336032.6</v>
      </c>
      <c r="F1403" s="451">
        <v>13324025.6</v>
      </c>
      <c r="G1403" s="459">
        <f t="shared" si="21"/>
        <v>99.909965726988403</v>
      </c>
    </row>
    <row r="1404" spans="1:7">
      <c r="A1404" s="241" t="s">
        <v>234</v>
      </c>
      <c r="B1404" s="242" t="s">
        <v>788</v>
      </c>
      <c r="C1404" s="242" t="s">
        <v>28</v>
      </c>
      <c r="D1404" s="242" t="s">
        <v>1135</v>
      </c>
      <c r="E1404" s="453">
        <v>13336032.6</v>
      </c>
      <c r="F1404" s="451">
        <v>13324025.6</v>
      </c>
      <c r="G1404" s="459">
        <f t="shared" si="21"/>
        <v>99.909965726988403</v>
      </c>
    </row>
    <row r="1405" spans="1:7" ht="38.25">
      <c r="A1405" s="241" t="s">
        <v>216</v>
      </c>
      <c r="B1405" s="242" t="s">
        <v>788</v>
      </c>
      <c r="C1405" s="242" t="s">
        <v>28</v>
      </c>
      <c r="D1405" s="242" t="s">
        <v>331</v>
      </c>
      <c r="E1405" s="453">
        <v>13336032.6</v>
      </c>
      <c r="F1405" s="451">
        <v>13324025.600000001</v>
      </c>
      <c r="G1405" s="459">
        <f t="shared" si="21"/>
        <v>99.909965726988418</v>
      </c>
    </row>
    <row r="1406" spans="1:7" ht="25.5">
      <c r="A1406" s="241" t="s">
        <v>1319</v>
      </c>
      <c r="B1406" s="242" t="s">
        <v>788</v>
      </c>
      <c r="C1406" s="242" t="s">
        <v>1320</v>
      </c>
      <c r="D1406" s="242"/>
      <c r="E1406" s="453">
        <v>1884134</v>
      </c>
      <c r="F1406" s="451">
        <v>1881643.24</v>
      </c>
      <c r="G1406" s="459">
        <f t="shared" si="21"/>
        <v>99.867803457715851</v>
      </c>
    </row>
    <row r="1407" spans="1:7" ht="25.5">
      <c r="A1407" s="241" t="s">
        <v>1196</v>
      </c>
      <c r="B1407" s="242" t="s">
        <v>788</v>
      </c>
      <c r="C1407" s="242" t="s">
        <v>1197</v>
      </c>
      <c r="D1407" s="242"/>
      <c r="E1407" s="453">
        <v>1884134</v>
      </c>
      <c r="F1407" s="451">
        <v>1881643.24</v>
      </c>
      <c r="G1407" s="459">
        <f t="shared" si="21"/>
        <v>99.867803457715851</v>
      </c>
    </row>
    <row r="1408" spans="1:7">
      <c r="A1408" s="241" t="s">
        <v>234</v>
      </c>
      <c r="B1408" s="242" t="s">
        <v>788</v>
      </c>
      <c r="C1408" s="242" t="s">
        <v>1197</v>
      </c>
      <c r="D1408" s="242" t="s">
        <v>1135</v>
      </c>
      <c r="E1408" s="453">
        <v>1884134</v>
      </c>
      <c r="F1408" s="451">
        <v>1881643.24</v>
      </c>
      <c r="G1408" s="459">
        <f t="shared" si="21"/>
        <v>99.867803457715851</v>
      </c>
    </row>
    <row r="1409" spans="1:7" ht="38.25">
      <c r="A1409" s="241" t="s">
        <v>216</v>
      </c>
      <c r="B1409" s="242" t="s">
        <v>788</v>
      </c>
      <c r="C1409" s="242" t="s">
        <v>1197</v>
      </c>
      <c r="D1409" s="242" t="s">
        <v>331</v>
      </c>
      <c r="E1409" s="453">
        <v>1884134</v>
      </c>
      <c r="F1409" s="451">
        <v>1881643.24</v>
      </c>
      <c r="G1409" s="459">
        <f t="shared" si="21"/>
        <v>99.867803457715851</v>
      </c>
    </row>
    <row r="1410" spans="1:7">
      <c r="A1410" s="241" t="s">
        <v>1321</v>
      </c>
      <c r="B1410" s="242" t="s">
        <v>788</v>
      </c>
      <c r="C1410" s="242" t="s">
        <v>1322</v>
      </c>
      <c r="D1410" s="242"/>
      <c r="E1410" s="453">
        <v>24276.01</v>
      </c>
      <c r="F1410" s="451">
        <v>19693.080000000002</v>
      </c>
      <c r="G1410" s="459">
        <f t="shared" si="21"/>
        <v>81.121568165444003</v>
      </c>
    </row>
    <row r="1411" spans="1:7">
      <c r="A1411" s="241" t="s">
        <v>1210</v>
      </c>
      <c r="B1411" s="242" t="s">
        <v>788</v>
      </c>
      <c r="C1411" s="242" t="s">
        <v>201</v>
      </c>
      <c r="D1411" s="242"/>
      <c r="E1411" s="453">
        <v>6582.93</v>
      </c>
      <c r="F1411" s="451">
        <v>2000</v>
      </c>
      <c r="G1411" s="459">
        <f t="shared" si="21"/>
        <v>30.381608189666302</v>
      </c>
    </row>
    <row r="1412" spans="1:7">
      <c r="A1412" s="241" t="s">
        <v>234</v>
      </c>
      <c r="B1412" s="242" t="s">
        <v>788</v>
      </c>
      <c r="C1412" s="242" t="s">
        <v>201</v>
      </c>
      <c r="D1412" s="242" t="s">
        <v>1135</v>
      </c>
      <c r="E1412" s="453">
        <v>6582.93</v>
      </c>
      <c r="F1412" s="451">
        <v>2000</v>
      </c>
      <c r="G1412" s="459">
        <f t="shared" si="21"/>
        <v>30.381608189666302</v>
      </c>
    </row>
    <row r="1413" spans="1:7" ht="38.25">
      <c r="A1413" s="241" t="s">
        <v>216</v>
      </c>
      <c r="B1413" s="242" t="s">
        <v>788</v>
      </c>
      <c r="C1413" s="242" t="s">
        <v>201</v>
      </c>
      <c r="D1413" s="242" t="s">
        <v>331</v>
      </c>
      <c r="E1413" s="453">
        <v>6582.93</v>
      </c>
      <c r="F1413" s="451">
        <v>2000</v>
      </c>
      <c r="G1413" s="459">
        <f t="shared" si="21"/>
        <v>30.381608189666302</v>
      </c>
    </row>
    <row r="1414" spans="1:7">
      <c r="A1414" s="241" t="s">
        <v>1201</v>
      </c>
      <c r="B1414" s="242" t="s">
        <v>788</v>
      </c>
      <c r="C1414" s="242" t="s">
        <v>1202</v>
      </c>
      <c r="D1414" s="242"/>
      <c r="E1414" s="453">
        <v>17693.080000000002</v>
      </c>
      <c r="F1414" s="451">
        <v>17693.080000000002</v>
      </c>
      <c r="G1414" s="459">
        <f t="shared" si="21"/>
        <v>100</v>
      </c>
    </row>
    <row r="1415" spans="1:7">
      <c r="A1415" s="241" t="s">
        <v>234</v>
      </c>
      <c r="B1415" s="242" t="s">
        <v>788</v>
      </c>
      <c r="C1415" s="242" t="s">
        <v>1202</v>
      </c>
      <c r="D1415" s="242" t="s">
        <v>1135</v>
      </c>
      <c r="E1415" s="453">
        <v>17693.080000000002</v>
      </c>
      <c r="F1415" s="451">
        <v>17693.080000000002</v>
      </c>
      <c r="G1415" s="459">
        <f t="shared" ref="G1415:G1478" si="22">F1415/E1415*100</f>
        <v>100</v>
      </c>
    </row>
    <row r="1416" spans="1:7" ht="38.25">
      <c r="A1416" s="241" t="s">
        <v>216</v>
      </c>
      <c r="B1416" s="242" t="s">
        <v>788</v>
      </c>
      <c r="C1416" s="242" t="s">
        <v>1202</v>
      </c>
      <c r="D1416" s="242" t="s">
        <v>331</v>
      </c>
      <c r="E1416" s="453">
        <v>17693.080000000002</v>
      </c>
      <c r="F1416" s="451">
        <v>17693.080000000002</v>
      </c>
      <c r="G1416" s="459">
        <f t="shared" si="22"/>
        <v>100</v>
      </c>
    </row>
    <row r="1417" spans="1:7" ht="89.25">
      <c r="A1417" s="241" t="s">
        <v>535</v>
      </c>
      <c r="B1417" s="242" t="s">
        <v>789</v>
      </c>
      <c r="C1417" s="242"/>
      <c r="D1417" s="242"/>
      <c r="E1417" s="453">
        <v>917957.93</v>
      </c>
      <c r="F1417" s="451">
        <v>917957.93</v>
      </c>
      <c r="G1417" s="459">
        <f t="shared" si="22"/>
        <v>100</v>
      </c>
    </row>
    <row r="1418" spans="1:7" ht="63.75">
      <c r="A1418" s="241" t="s">
        <v>1318</v>
      </c>
      <c r="B1418" s="242" t="s">
        <v>789</v>
      </c>
      <c r="C1418" s="242" t="s">
        <v>273</v>
      </c>
      <c r="D1418" s="242"/>
      <c r="E1418" s="453">
        <v>917957.93</v>
      </c>
      <c r="F1418" s="451">
        <v>917957.93</v>
      </c>
      <c r="G1418" s="459">
        <f t="shared" si="22"/>
        <v>100</v>
      </c>
    </row>
    <row r="1419" spans="1:7" ht="25.5">
      <c r="A1419" s="241" t="s">
        <v>1203</v>
      </c>
      <c r="B1419" s="242" t="s">
        <v>789</v>
      </c>
      <c r="C1419" s="242" t="s">
        <v>28</v>
      </c>
      <c r="D1419" s="242"/>
      <c r="E1419" s="453">
        <v>917957.93</v>
      </c>
      <c r="F1419" s="451">
        <v>917957.93</v>
      </c>
      <c r="G1419" s="459">
        <f t="shared" si="22"/>
        <v>100</v>
      </c>
    </row>
    <row r="1420" spans="1:7">
      <c r="A1420" s="241" t="s">
        <v>234</v>
      </c>
      <c r="B1420" s="242" t="s">
        <v>789</v>
      </c>
      <c r="C1420" s="242" t="s">
        <v>28</v>
      </c>
      <c r="D1420" s="242" t="s">
        <v>1135</v>
      </c>
      <c r="E1420" s="453">
        <v>917957.93</v>
      </c>
      <c r="F1420" s="451">
        <v>917957.93</v>
      </c>
      <c r="G1420" s="459">
        <f t="shared" si="22"/>
        <v>100</v>
      </c>
    </row>
    <row r="1421" spans="1:7" ht="38.25">
      <c r="A1421" s="241" t="s">
        <v>216</v>
      </c>
      <c r="B1421" s="242" t="s">
        <v>789</v>
      </c>
      <c r="C1421" s="242" t="s">
        <v>28</v>
      </c>
      <c r="D1421" s="242" t="s">
        <v>331</v>
      </c>
      <c r="E1421" s="453">
        <v>917957.93</v>
      </c>
      <c r="F1421" s="451">
        <v>917957.93</v>
      </c>
      <c r="G1421" s="459">
        <f t="shared" si="22"/>
        <v>100</v>
      </c>
    </row>
    <row r="1422" spans="1:7" ht="76.5">
      <c r="A1422" s="241" t="s">
        <v>585</v>
      </c>
      <c r="B1422" s="242" t="s">
        <v>790</v>
      </c>
      <c r="C1422" s="242"/>
      <c r="D1422" s="242"/>
      <c r="E1422" s="453">
        <v>35406</v>
      </c>
      <c r="F1422" s="451">
        <v>35406</v>
      </c>
      <c r="G1422" s="459">
        <f t="shared" si="22"/>
        <v>100</v>
      </c>
    </row>
    <row r="1423" spans="1:7" ht="63.75">
      <c r="A1423" s="241" t="s">
        <v>1318</v>
      </c>
      <c r="B1423" s="242" t="s">
        <v>790</v>
      </c>
      <c r="C1423" s="242" t="s">
        <v>273</v>
      </c>
      <c r="D1423" s="242"/>
      <c r="E1423" s="453">
        <v>35406</v>
      </c>
      <c r="F1423" s="451">
        <v>35406</v>
      </c>
      <c r="G1423" s="459">
        <f t="shared" si="22"/>
        <v>100</v>
      </c>
    </row>
    <row r="1424" spans="1:7" ht="25.5">
      <c r="A1424" s="241" t="s">
        <v>1203</v>
      </c>
      <c r="B1424" s="242" t="s">
        <v>790</v>
      </c>
      <c r="C1424" s="242" t="s">
        <v>28</v>
      </c>
      <c r="D1424" s="242"/>
      <c r="E1424" s="453">
        <v>35406</v>
      </c>
      <c r="F1424" s="451">
        <v>35406</v>
      </c>
      <c r="G1424" s="459">
        <f t="shared" si="22"/>
        <v>100</v>
      </c>
    </row>
    <row r="1425" spans="1:7">
      <c r="A1425" s="241" t="s">
        <v>234</v>
      </c>
      <c r="B1425" s="242" t="s">
        <v>790</v>
      </c>
      <c r="C1425" s="242" t="s">
        <v>28</v>
      </c>
      <c r="D1425" s="242" t="s">
        <v>1135</v>
      </c>
      <c r="E1425" s="453">
        <v>35406</v>
      </c>
      <c r="F1425" s="451">
        <v>35406</v>
      </c>
      <c r="G1425" s="459">
        <f t="shared" si="22"/>
        <v>100</v>
      </c>
    </row>
    <row r="1426" spans="1:7" ht="38.25">
      <c r="A1426" s="241" t="s">
        <v>216</v>
      </c>
      <c r="B1426" s="242" t="s">
        <v>790</v>
      </c>
      <c r="C1426" s="242" t="s">
        <v>28</v>
      </c>
      <c r="D1426" s="242" t="s">
        <v>331</v>
      </c>
      <c r="E1426" s="453">
        <v>35406</v>
      </c>
      <c r="F1426" s="451">
        <v>35406</v>
      </c>
      <c r="G1426" s="459">
        <f t="shared" si="22"/>
        <v>100</v>
      </c>
    </row>
    <row r="1427" spans="1:7" ht="76.5">
      <c r="A1427" s="241" t="s">
        <v>933</v>
      </c>
      <c r="B1427" s="242" t="s">
        <v>932</v>
      </c>
      <c r="C1427" s="242"/>
      <c r="D1427" s="242"/>
      <c r="E1427" s="453">
        <v>1675048.06</v>
      </c>
      <c r="F1427" s="451">
        <v>1674043.34</v>
      </c>
      <c r="G1427" s="459">
        <f t="shared" si="22"/>
        <v>99.94001843744114</v>
      </c>
    </row>
    <row r="1428" spans="1:7" ht="63.75">
      <c r="A1428" s="241" t="s">
        <v>1318</v>
      </c>
      <c r="B1428" s="242" t="s">
        <v>932</v>
      </c>
      <c r="C1428" s="242" t="s">
        <v>273</v>
      </c>
      <c r="D1428" s="242"/>
      <c r="E1428" s="453">
        <v>1675048.06</v>
      </c>
      <c r="F1428" s="451">
        <v>1674043.34</v>
      </c>
      <c r="G1428" s="459">
        <f t="shared" si="22"/>
        <v>99.94001843744114</v>
      </c>
    </row>
    <row r="1429" spans="1:7" ht="25.5">
      <c r="A1429" s="241" t="s">
        <v>1203</v>
      </c>
      <c r="B1429" s="242" t="s">
        <v>932</v>
      </c>
      <c r="C1429" s="242" t="s">
        <v>28</v>
      </c>
      <c r="D1429" s="242"/>
      <c r="E1429" s="453">
        <v>1675048.06</v>
      </c>
      <c r="F1429" s="451">
        <v>1674043.34</v>
      </c>
      <c r="G1429" s="459">
        <f t="shared" si="22"/>
        <v>99.94001843744114</v>
      </c>
    </row>
    <row r="1430" spans="1:7">
      <c r="A1430" s="241" t="s">
        <v>234</v>
      </c>
      <c r="B1430" s="242" t="s">
        <v>932</v>
      </c>
      <c r="C1430" s="242" t="s">
        <v>28</v>
      </c>
      <c r="D1430" s="242" t="s">
        <v>1135</v>
      </c>
      <c r="E1430" s="453">
        <v>1675048.06</v>
      </c>
      <c r="F1430" s="451">
        <v>1674043.34</v>
      </c>
      <c r="G1430" s="459">
        <f t="shared" si="22"/>
        <v>99.94001843744114</v>
      </c>
    </row>
    <row r="1431" spans="1:7" ht="38.25">
      <c r="A1431" s="241" t="s">
        <v>216</v>
      </c>
      <c r="B1431" s="242" t="s">
        <v>932</v>
      </c>
      <c r="C1431" s="242" t="s">
        <v>28</v>
      </c>
      <c r="D1431" s="242" t="s">
        <v>331</v>
      </c>
      <c r="E1431" s="453">
        <v>1675048.06</v>
      </c>
      <c r="F1431" s="451">
        <v>1674043.34</v>
      </c>
      <c r="G1431" s="459">
        <f t="shared" si="22"/>
        <v>99.94001843744114</v>
      </c>
    </row>
    <row r="1432" spans="1:7" ht="51">
      <c r="A1432" s="241" t="s">
        <v>586</v>
      </c>
      <c r="B1432" s="242" t="s">
        <v>791</v>
      </c>
      <c r="C1432" s="242"/>
      <c r="D1432" s="242"/>
      <c r="E1432" s="453">
        <v>634779.27</v>
      </c>
      <c r="F1432" s="451">
        <v>494353.33</v>
      </c>
      <c r="G1432" s="459">
        <f t="shared" si="22"/>
        <v>77.877988989779084</v>
      </c>
    </row>
    <row r="1433" spans="1:7" ht="25.5">
      <c r="A1433" s="241" t="s">
        <v>1319</v>
      </c>
      <c r="B1433" s="242" t="s">
        <v>791</v>
      </c>
      <c r="C1433" s="242" t="s">
        <v>1320</v>
      </c>
      <c r="D1433" s="242"/>
      <c r="E1433" s="453">
        <v>634779.27</v>
      </c>
      <c r="F1433" s="451">
        <v>494353.33</v>
      </c>
      <c r="G1433" s="459">
        <f t="shared" si="22"/>
        <v>77.877988989779084</v>
      </c>
    </row>
    <row r="1434" spans="1:7" ht="25.5">
      <c r="A1434" s="241" t="s">
        <v>1196</v>
      </c>
      <c r="B1434" s="242" t="s">
        <v>791</v>
      </c>
      <c r="C1434" s="242" t="s">
        <v>1197</v>
      </c>
      <c r="D1434" s="242"/>
      <c r="E1434" s="453">
        <v>634779.27</v>
      </c>
      <c r="F1434" s="451">
        <v>494353.33</v>
      </c>
      <c r="G1434" s="459">
        <f t="shared" si="22"/>
        <v>77.877988989779084</v>
      </c>
    </row>
    <row r="1435" spans="1:7">
      <c r="A1435" s="241" t="s">
        <v>234</v>
      </c>
      <c r="B1435" s="242" t="s">
        <v>791</v>
      </c>
      <c r="C1435" s="242" t="s">
        <v>1197</v>
      </c>
      <c r="D1435" s="242" t="s">
        <v>1135</v>
      </c>
      <c r="E1435" s="453">
        <v>634779.27</v>
      </c>
      <c r="F1435" s="451">
        <v>494353.33</v>
      </c>
      <c r="G1435" s="459">
        <f t="shared" si="22"/>
        <v>77.877988989779084</v>
      </c>
    </row>
    <row r="1436" spans="1:7" ht="38.25">
      <c r="A1436" s="241" t="s">
        <v>216</v>
      </c>
      <c r="B1436" s="242" t="s">
        <v>791</v>
      </c>
      <c r="C1436" s="242" t="s">
        <v>1197</v>
      </c>
      <c r="D1436" s="242" t="s">
        <v>331</v>
      </c>
      <c r="E1436" s="453">
        <v>634779.2699999999</v>
      </c>
      <c r="F1436" s="451">
        <v>494353.33</v>
      </c>
      <c r="G1436" s="459">
        <f t="shared" si="22"/>
        <v>77.877988989779084</v>
      </c>
    </row>
    <row r="1437" spans="1:7" ht="63.75">
      <c r="A1437" s="241" t="s">
        <v>1855</v>
      </c>
      <c r="B1437" s="242" t="s">
        <v>1856</v>
      </c>
      <c r="C1437" s="242"/>
      <c r="D1437" s="242"/>
      <c r="E1437" s="453">
        <v>5525</v>
      </c>
      <c r="F1437" s="451">
        <v>5475.2</v>
      </c>
      <c r="G1437" s="459">
        <f t="shared" si="22"/>
        <v>99.098642533936641</v>
      </c>
    </row>
    <row r="1438" spans="1:7" ht="25.5">
      <c r="A1438" s="241" t="s">
        <v>1319</v>
      </c>
      <c r="B1438" s="242" t="s">
        <v>1856</v>
      </c>
      <c r="C1438" s="242" t="s">
        <v>1320</v>
      </c>
      <c r="D1438" s="242"/>
      <c r="E1438" s="453">
        <v>5525</v>
      </c>
      <c r="F1438" s="451">
        <v>5475.2</v>
      </c>
      <c r="G1438" s="459">
        <f t="shared" si="22"/>
        <v>99.098642533936641</v>
      </c>
    </row>
    <row r="1439" spans="1:7" ht="25.5">
      <c r="A1439" s="241" t="s">
        <v>1196</v>
      </c>
      <c r="B1439" s="242" t="s">
        <v>1856</v>
      </c>
      <c r="C1439" s="242" t="s">
        <v>1197</v>
      </c>
      <c r="D1439" s="242"/>
      <c r="E1439" s="453">
        <v>5525</v>
      </c>
      <c r="F1439" s="451">
        <v>5475.2</v>
      </c>
      <c r="G1439" s="459">
        <f t="shared" si="22"/>
        <v>99.098642533936641</v>
      </c>
    </row>
    <row r="1440" spans="1:7">
      <c r="A1440" s="241" t="s">
        <v>234</v>
      </c>
      <c r="B1440" s="242" t="s">
        <v>1856</v>
      </c>
      <c r="C1440" s="242" t="s">
        <v>1197</v>
      </c>
      <c r="D1440" s="242" t="s">
        <v>1135</v>
      </c>
      <c r="E1440" s="453">
        <v>5525</v>
      </c>
      <c r="F1440" s="451">
        <v>5475.2</v>
      </c>
      <c r="G1440" s="459">
        <f t="shared" si="22"/>
        <v>99.098642533936641</v>
      </c>
    </row>
    <row r="1441" spans="1:7" ht="38.25">
      <c r="A1441" s="241" t="s">
        <v>216</v>
      </c>
      <c r="B1441" s="242" t="s">
        <v>1856</v>
      </c>
      <c r="C1441" s="242" t="s">
        <v>1197</v>
      </c>
      <c r="D1441" s="242" t="s">
        <v>331</v>
      </c>
      <c r="E1441" s="453">
        <v>5525</v>
      </c>
      <c r="F1441" s="451">
        <v>5475.2</v>
      </c>
      <c r="G1441" s="459">
        <f t="shared" si="22"/>
        <v>99.098642533936641</v>
      </c>
    </row>
    <row r="1442" spans="1:7" ht="51">
      <c r="A1442" s="241" t="s">
        <v>2260</v>
      </c>
      <c r="B1442" s="242" t="s">
        <v>2261</v>
      </c>
      <c r="C1442" s="242"/>
      <c r="D1442" s="242"/>
      <c r="E1442" s="453">
        <v>6100</v>
      </c>
      <c r="F1442" s="451">
        <v>6100</v>
      </c>
      <c r="G1442" s="459">
        <f t="shared" si="22"/>
        <v>100</v>
      </c>
    </row>
    <row r="1443" spans="1:7" ht="25.5">
      <c r="A1443" s="241" t="s">
        <v>1319</v>
      </c>
      <c r="B1443" s="242" t="s">
        <v>2261</v>
      </c>
      <c r="C1443" s="242" t="s">
        <v>1320</v>
      </c>
      <c r="D1443" s="242"/>
      <c r="E1443" s="453">
        <v>6100</v>
      </c>
      <c r="F1443" s="451">
        <v>6100</v>
      </c>
      <c r="G1443" s="459">
        <f t="shared" si="22"/>
        <v>100</v>
      </c>
    </row>
    <row r="1444" spans="1:7" ht="25.5">
      <c r="A1444" s="241" t="s">
        <v>1196</v>
      </c>
      <c r="B1444" s="242" t="s">
        <v>2261</v>
      </c>
      <c r="C1444" s="242" t="s">
        <v>1197</v>
      </c>
      <c r="D1444" s="242"/>
      <c r="E1444" s="453">
        <v>6100</v>
      </c>
      <c r="F1444" s="451">
        <v>6100</v>
      </c>
      <c r="G1444" s="459">
        <f t="shared" si="22"/>
        <v>100</v>
      </c>
    </row>
    <row r="1445" spans="1:7">
      <c r="A1445" s="241" t="s">
        <v>234</v>
      </c>
      <c r="B1445" s="242" t="s">
        <v>2261</v>
      </c>
      <c r="C1445" s="242" t="s">
        <v>1197</v>
      </c>
      <c r="D1445" s="242" t="s">
        <v>1135</v>
      </c>
      <c r="E1445" s="453">
        <v>6100</v>
      </c>
      <c r="F1445" s="451">
        <v>6100</v>
      </c>
      <c r="G1445" s="459">
        <f t="shared" si="22"/>
        <v>100</v>
      </c>
    </row>
    <row r="1446" spans="1:7" ht="38.25">
      <c r="A1446" s="241" t="s">
        <v>216</v>
      </c>
      <c r="B1446" s="242" t="s">
        <v>2261</v>
      </c>
      <c r="C1446" s="242" t="s">
        <v>1197</v>
      </c>
      <c r="D1446" s="242" t="s">
        <v>331</v>
      </c>
      <c r="E1446" s="453">
        <v>6100</v>
      </c>
      <c r="F1446" s="451">
        <v>6100</v>
      </c>
      <c r="G1446" s="459">
        <f t="shared" si="22"/>
        <v>100</v>
      </c>
    </row>
    <row r="1447" spans="1:7" ht="51">
      <c r="A1447" s="241" t="s">
        <v>969</v>
      </c>
      <c r="B1447" s="242" t="s">
        <v>970</v>
      </c>
      <c r="C1447" s="242"/>
      <c r="D1447" s="242"/>
      <c r="E1447" s="453">
        <v>205348</v>
      </c>
      <c r="F1447" s="451">
        <v>190934.62</v>
      </c>
      <c r="G1447" s="459">
        <f t="shared" si="22"/>
        <v>92.980998110524567</v>
      </c>
    </row>
    <row r="1448" spans="1:7" ht="25.5">
      <c r="A1448" s="241" t="s">
        <v>1319</v>
      </c>
      <c r="B1448" s="242" t="s">
        <v>970</v>
      </c>
      <c r="C1448" s="242" t="s">
        <v>1320</v>
      </c>
      <c r="D1448" s="242"/>
      <c r="E1448" s="453">
        <v>205348</v>
      </c>
      <c r="F1448" s="451">
        <v>190934.62</v>
      </c>
      <c r="G1448" s="459">
        <f t="shared" si="22"/>
        <v>92.980998110524567</v>
      </c>
    </row>
    <row r="1449" spans="1:7" ht="25.5">
      <c r="A1449" s="241" t="s">
        <v>1196</v>
      </c>
      <c r="B1449" s="242" t="s">
        <v>970</v>
      </c>
      <c r="C1449" s="242" t="s">
        <v>1197</v>
      </c>
      <c r="D1449" s="242"/>
      <c r="E1449" s="453">
        <v>205348</v>
      </c>
      <c r="F1449" s="451">
        <v>190934.62</v>
      </c>
      <c r="G1449" s="459">
        <f t="shared" si="22"/>
        <v>92.980998110524567</v>
      </c>
    </row>
    <row r="1450" spans="1:7">
      <c r="A1450" s="241" t="s">
        <v>234</v>
      </c>
      <c r="B1450" s="242" t="s">
        <v>970</v>
      </c>
      <c r="C1450" s="242" t="s">
        <v>1197</v>
      </c>
      <c r="D1450" s="242" t="s">
        <v>1135</v>
      </c>
      <c r="E1450" s="453">
        <v>205348</v>
      </c>
      <c r="F1450" s="451">
        <v>190934.62</v>
      </c>
      <c r="G1450" s="459">
        <f t="shared" si="22"/>
        <v>92.980998110524567</v>
      </c>
    </row>
    <row r="1451" spans="1:7" ht="38.25">
      <c r="A1451" s="241" t="s">
        <v>216</v>
      </c>
      <c r="B1451" s="242" t="s">
        <v>970</v>
      </c>
      <c r="C1451" s="242" t="s">
        <v>1197</v>
      </c>
      <c r="D1451" s="242" t="s">
        <v>331</v>
      </c>
      <c r="E1451" s="453">
        <v>205348</v>
      </c>
      <c r="F1451" s="451">
        <v>190934.62</v>
      </c>
      <c r="G1451" s="459">
        <f t="shared" si="22"/>
        <v>92.980998110524567</v>
      </c>
    </row>
    <row r="1452" spans="1:7" ht="63.75">
      <c r="A1452" s="241" t="s">
        <v>536</v>
      </c>
      <c r="B1452" s="242" t="s">
        <v>792</v>
      </c>
      <c r="C1452" s="242"/>
      <c r="D1452" s="242"/>
      <c r="E1452" s="453">
        <v>709547</v>
      </c>
      <c r="F1452" s="451">
        <v>709547</v>
      </c>
      <c r="G1452" s="459">
        <f t="shared" si="22"/>
        <v>100</v>
      </c>
    </row>
    <row r="1453" spans="1:7" ht="63.75">
      <c r="A1453" s="241" t="s">
        <v>1318</v>
      </c>
      <c r="B1453" s="242" t="s">
        <v>792</v>
      </c>
      <c r="C1453" s="242" t="s">
        <v>273</v>
      </c>
      <c r="D1453" s="242"/>
      <c r="E1453" s="453">
        <v>709547</v>
      </c>
      <c r="F1453" s="451">
        <v>709547</v>
      </c>
      <c r="G1453" s="459">
        <f t="shared" si="22"/>
        <v>100</v>
      </c>
    </row>
    <row r="1454" spans="1:7" ht="25.5">
      <c r="A1454" s="241" t="s">
        <v>1203</v>
      </c>
      <c r="B1454" s="242" t="s">
        <v>792</v>
      </c>
      <c r="C1454" s="242" t="s">
        <v>28</v>
      </c>
      <c r="D1454" s="242"/>
      <c r="E1454" s="453">
        <v>709547</v>
      </c>
      <c r="F1454" s="451">
        <v>709547</v>
      </c>
      <c r="G1454" s="459">
        <f t="shared" si="22"/>
        <v>100</v>
      </c>
    </row>
    <row r="1455" spans="1:7">
      <c r="A1455" s="241" t="s">
        <v>234</v>
      </c>
      <c r="B1455" s="242" t="s">
        <v>792</v>
      </c>
      <c r="C1455" s="242" t="s">
        <v>28</v>
      </c>
      <c r="D1455" s="242" t="s">
        <v>1135</v>
      </c>
      <c r="E1455" s="453">
        <v>709547</v>
      </c>
      <c r="F1455" s="451">
        <v>709547</v>
      </c>
      <c r="G1455" s="459">
        <f t="shared" si="22"/>
        <v>100</v>
      </c>
    </row>
    <row r="1456" spans="1:7" ht="38.25">
      <c r="A1456" s="241" t="s">
        <v>216</v>
      </c>
      <c r="B1456" s="242" t="s">
        <v>792</v>
      </c>
      <c r="C1456" s="242" t="s">
        <v>28</v>
      </c>
      <c r="D1456" s="242" t="s">
        <v>331</v>
      </c>
      <c r="E1456" s="453">
        <v>709547</v>
      </c>
      <c r="F1456" s="451">
        <v>709547</v>
      </c>
      <c r="G1456" s="459">
        <f t="shared" si="22"/>
        <v>100</v>
      </c>
    </row>
    <row r="1457" spans="1:7" ht="89.25">
      <c r="A1457" s="241" t="s">
        <v>1372</v>
      </c>
      <c r="B1457" s="242" t="s">
        <v>1373</v>
      </c>
      <c r="C1457" s="242"/>
      <c r="D1457" s="242"/>
      <c r="E1457" s="453">
        <v>23000</v>
      </c>
      <c r="F1457" s="451">
        <v>23000</v>
      </c>
      <c r="G1457" s="459">
        <f t="shared" si="22"/>
        <v>100</v>
      </c>
    </row>
    <row r="1458" spans="1:7" ht="25.5">
      <c r="A1458" s="241" t="s">
        <v>1319</v>
      </c>
      <c r="B1458" s="242" t="s">
        <v>1373</v>
      </c>
      <c r="C1458" s="242" t="s">
        <v>1320</v>
      </c>
      <c r="D1458" s="242"/>
      <c r="E1458" s="453">
        <v>23000</v>
      </c>
      <c r="F1458" s="451">
        <v>23000</v>
      </c>
      <c r="G1458" s="459">
        <f t="shared" si="22"/>
        <v>100</v>
      </c>
    </row>
    <row r="1459" spans="1:7" ht="25.5">
      <c r="A1459" s="241" t="s">
        <v>1196</v>
      </c>
      <c r="B1459" s="242" t="s">
        <v>1373</v>
      </c>
      <c r="C1459" s="242" t="s">
        <v>1197</v>
      </c>
      <c r="D1459" s="242"/>
      <c r="E1459" s="453">
        <v>23000</v>
      </c>
      <c r="F1459" s="451">
        <v>23000</v>
      </c>
      <c r="G1459" s="459">
        <f t="shared" si="22"/>
        <v>100</v>
      </c>
    </row>
    <row r="1460" spans="1:7">
      <c r="A1460" s="241" t="s">
        <v>234</v>
      </c>
      <c r="B1460" s="242" t="s">
        <v>1373</v>
      </c>
      <c r="C1460" s="242" t="s">
        <v>1197</v>
      </c>
      <c r="D1460" s="242" t="s">
        <v>1135</v>
      </c>
      <c r="E1460" s="453">
        <v>23000</v>
      </c>
      <c r="F1460" s="451">
        <v>23000</v>
      </c>
      <c r="G1460" s="459">
        <f t="shared" si="22"/>
        <v>100</v>
      </c>
    </row>
    <row r="1461" spans="1:7" ht="38.25">
      <c r="A1461" s="241" t="s">
        <v>216</v>
      </c>
      <c r="B1461" s="242" t="s">
        <v>1373</v>
      </c>
      <c r="C1461" s="242" t="s">
        <v>1197</v>
      </c>
      <c r="D1461" s="242" t="s">
        <v>331</v>
      </c>
      <c r="E1461" s="453">
        <v>23000</v>
      </c>
      <c r="F1461" s="451">
        <v>23000</v>
      </c>
      <c r="G1461" s="459">
        <f t="shared" si="22"/>
        <v>100</v>
      </c>
    </row>
    <row r="1462" spans="1:7" ht="25.5">
      <c r="A1462" s="241" t="s">
        <v>493</v>
      </c>
      <c r="B1462" s="242" t="s">
        <v>1002</v>
      </c>
      <c r="C1462" s="242"/>
      <c r="D1462" s="242"/>
      <c r="E1462" s="453">
        <v>2073925.38</v>
      </c>
      <c r="F1462" s="451">
        <v>2000443.33</v>
      </c>
      <c r="G1462" s="459">
        <f t="shared" si="22"/>
        <v>96.456861432497647</v>
      </c>
    </row>
    <row r="1463" spans="1:7">
      <c r="A1463" s="241" t="s">
        <v>494</v>
      </c>
      <c r="B1463" s="242" t="s">
        <v>1003</v>
      </c>
      <c r="C1463" s="242"/>
      <c r="D1463" s="242"/>
      <c r="E1463" s="453">
        <v>10000</v>
      </c>
      <c r="F1463" s="451">
        <v>10000</v>
      </c>
      <c r="G1463" s="459">
        <f t="shared" si="22"/>
        <v>100</v>
      </c>
    </row>
    <row r="1464" spans="1:7" ht="51">
      <c r="A1464" s="241" t="s">
        <v>1706</v>
      </c>
      <c r="B1464" s="242" t="s">
        <v>1707</v>
      </c>
      <c r="C1464" s="242"/>
      <c r="D1464" s="242"/>
      <c r="E1464" s="453">
        <v>10000</v>
      </c>
      <c r="F1464" s="451">
        <v>10000</v>
      </c>
      <c r="G1464" s="459">
        <f t="shared" si="22"/>
        <v>100</v>
      </c>
    </row>
    <row r="1465" spans="1:7" ht="25.5">
      <c r="A1465" s="241" t="s">
        <v>1319</v>
      </c>
      <c r="B1465" s="242" t="s">
        <v>1707</v>
      </c>
      <c r="C1465" s="242" t="s">
        <v>1320</v>
      </c>
      <c r="D1465" s="242"/>
      <c r="E1465" s="453">
        <v>10000</v>
      </c>
      <c r="F1465" s="451">
        <v>10000</v>
      </c>
      <c r="G1465" s="459">
        <f t="shared" si="22"/>
        <v>100</v>
      </c>
    </row>
    <row r="1466" spans="1:7" ht="25.5">
      <c r="A1466" s="241" t="s">
        <v>1196</v>
      </c>
      <c r="B1466" s="242" t="s">
        <v>1707</v>
      </c>
      <c r="C1466" s="242" t="s">
        <v>1197</v>
      </c>
      <c r="D1466" s="242"/>
      <c r="E1466" s="453">
        <v>10000</v>
      </c>
      <c r="F1466" s="451">
        <v>10000</v>
      </c>
      <c r="G1466" s="459">
        <f t="shared" si="22"/>
        <v>100</v>
      </c>
    </row>
    <row r="1467" spans="1:7">
      <c r="A1467" s="241" t="s">
        <v>183</v>
      </c>
      <c r="B1467" s="242" t="s">
        <v>1707</v>
      </c>
      <c r="C1467" s="242" t="s">
        <v>1197</v>
      </c>
      <c r="D1467" s="242" t="s">
        <v>1140</v>
      </c>
      <c r="E1467" s="453">
        <v>10000</v>
      </c>
      <c r="F1467" s="451">
        <v>10000</v>
      </c>
      <c r="G1467" s="459">
        <f t="shared" si="22"/>
        <v>100</v>
      </c>
    </row>
    <row r="1468" spans="1:7">
      <c r="A1468" s="241" t="s">
        <v>184</v>
      </c>
      <c r="B1468" s="242" t="s">
        <v>1707</v>
      </c>
      <c r="C1468" s="242" t="s">
        <v>1197</v>
      </c>
      <c r="D1468" s="242" t="s">
        <v>352</v>
      </c>
      <c r="E1468" s="453">
        <v>10000</v>
      </c>
      <c r="F1468" s="451">
        <v>10000</v>
      </c>
      <c r="G1468" s="459">
        <f t="shared" si="22"/>
        <v>100</v>
      </c>
    </row>
    <row r="1469" spans="1:7" ht="25.5">
      <c r="A1469" s="241" t="s">
        <v>495</v>
      </c>
      <c r="B1469" s="242" t="s">
        <v>1004</v>
      </c>
      <c r="C1469" s="242"/>
      <c r="D1469" s="242"/>
      <c r="E1469" s="453">
        <v>92808.38</v>
      </c>
      <c r="F1469" s="451">
        <v>92808.38</v>
      </c>
      <c r="G1469" s="459">
        <f t="shared" si="22"/>
        <v>100</v>
      </c>
    </row>
    <row r="1470" spans="1:7" ht="63.75">
      <c r="A1470" s="241" t="s">
        <v>1174</v>
      </c>
      <c r="B1470" s="242" t="s">
        <v>1175</v>
      </c>
      <c r="C1470" s="242"/>
      <c r="D1470" s="242"/>
      <c r="E1470" s="453">
        <v>92808.38</v>
      </c>
      <c r="F1470" s="451">
        <v>92808.38</v>
      </c>
      <c r="G1470" s="459">
        <f t="shared" si="22"/>
        <v>100</v>
      </c>
    </row>
    <row r="1471" spans="1:7" ht="25.5">
      <c r="A1471" s="241" t="s">
        <v>1319</v>
      </c>
      <c r="B1471" s="242" t="s">
        <v>1175</v>
      </c>
      <c r="C1471" s="242" t="s">
        <v>1320</v>
      </c>
      <c r="D1471" s="242"/>
      <c r="E1471" s="453">
        <v>92808.38</v>
      </c>
      <c r="F1471" s="451">
        <v>92808.38</v>
      </c>
      <c r="G1471" s="459">
        <f t="shared" si="22"/>
        <v>100</v>
      </c>
    </row>
    <row r="1472" spans="1:7" ht="25.5">
      <c r="A1472" s="241" t="s">
        <v>1196</v>
      </c>
      <c r="B1472" s="242" t="s">
        <v>1175</v>
      </c>
      <c r="C1472" s="242" t="s">
        <v>1197</v>
      </c>
      <c r="D1472" s="242"/>
      <c r="E1472" s="453">
        <v>92808.38</v>
      </c>
      <c r="F1472" s="451">
        <v>92808.38</v>
      </c>
      <c r="G1472" s="459">
        <f t="shared" si="22"/>
        <v>100</v>
      </c>
    </row>
    <row r="1473" spans="1:7">
      <c r="A1473" s="241" t="s">
        <v>183</v>
      </c>
      <c r="B1473" s="242" t="s">
        <v>1175</v>
      </c>
      <c r="C1473" s="242" t="s">
        <v>1197</v>
      </c>
      <c r="D1473" s="242" t="s">
        <v>1140</v>
      </c>
      <c r="E1473" s="453">
        <v>92808.38</v>
      </c>
      <c r="F1473" s="451">
        <v>92808.38</v>
      </c>
      <c r="G1473" s="459">
        <f t="shared" si="22"/>
        <v>100</v>
      </c>
    </row>
    <row r="1474" spans="1:7">
      <c r="A1474" s="241" t="s">
        <v>145</v>
      </c>
      <c r="B1474" s="242" t="s">
        <v>1175</v>
      </c>
      <c r="C1474" s="242" t="s">
        <v>1197</v>
      </c>
      <c r="D1474" s="242" t="s">
        <v>360</v>
      </c>
      <c r="E1474" s="453">
        <v>92808.38</v>
      </c>
      <c r="F1474" s="451">
        <v>92808.38</v>
      </c>
      <c r="G1474" s="459">
        <f t="shared" si="22"/>
        <v>100</v>
      </c>
    </row>
    <row r="1475" spans="1:7" ht="25.5">
      <c r="A1475" s="241" t="s">
        <v>447</v>
      </c>
      <c r="B1475" s="242" t="s">
        <v>1005</v>
      </c>
      <c r="C1475" s="242"/>
      <c r="D1475" s="242"/>
      <c r="E1475" s="453">
        <v>1971117</v>
      </c>
      <c r="F1475" s="451">
        <v>1897634.95</v>
      </c>
      <c r="G1475" s="459">
        <f t="shared" si="22"/>
        <v>96.272060461149692</v>
      </c>
    </row>
    <row r="1476" spans="1:7" ht="76.5">
      <c r="A1476" s="241" t="s">
        <v>355</v>
      </c>
      <c r="B1476" s="242" t="s">
        <v>669</v>
      </c>
      <c r="C1476" s="242"/>
      <c r="D1476" s="242"/>
      <c r="E1476" s="453">
        <v>1971117</v>
      </c>
      <c r="F1476" s="451">
        <v>1897634.95</v>
      </c>
      <c r="G1476" s="459">
        <f t="shared" si="22"/>
        <v>96.272060461149692</v>
      </c>
    </row>
    <row r="1477" spans="1:7" ht="63.75">
      <c r="A1477" s="241" t="s">
        <v>1318</v>
      </c>
      <c r="B1477" s="242" t="s">
        <v>669</v>
      </c>
      <c r="C1477" s="242" t="s">
        <v>273</v>
      </c>
      <c r="D1477" s="242"/>
      <c r="E1477" s="453">
        <v>1867617</v>
      </c>
      <c r="F1477" s="451">
        <v>1794134.95</v>
      </c>
      <c r="G1477" s="459">
        <f t="shared" si="22"/>
        <v>96.065464707164267</v>
      </c>
    </row>
    <row r="1478" spans="1:7" ht="25.5">
      <c r="A1478" s="241" t="s">
        <v>1203</v>
      </c>
      <c r="B1478" s="242" t="s">
        <v>669</v>
      </c>
      <c r="C1478" s="242" t="s">
        <v>28</v>
      </c>
      <c r="D1478" s="242"/>
      <c r="E1478" s="453">
        <v>1867617</v>
      </c>
      <c r="F1478" s="451">
        <v>1794134.95</v>
      </c>
      <c r="G1478" s="459">
        <f t="shared" si="22"/>
        <v>96.065464707164267</v>
      </c>
    </row>
    <row r="1479" spans="1:7">
      <c r="A1479" s="241" t="s">
        <v>183</v>
      </c>
      <c r="B1479" s="242" t="s">
        <v>669</v>
      </c>
      <c r="C1479" s="242" t="s">
        <v>28</v>
      </c>
      <c r="D1479" s="242" t="s">
        <v>1140</v>
      </c>
      <c r="E1479" s="453">
        <v>1867617</v>
      </c>
      <c r="F1479" s="451">
        <v>1794134.95</v>
      </c>
      <c r="G1479" s="459">
        <f t="shared" ref="G1479:G1542" si="23">F1479/E1479*100</f>
        <v>96.065464707164267</v>
      </c>
    </row>
    <row r="1480" spans="1:7">
      <c r="A1480" s="241" t="s">
        <v>184</v>
      </c>
      <c r="B1480" s="242" t="s">
        <v>669</v>
      </c>
      <c r="C1480" s="242" t="s">
        <v>28</v>
      </c>
      <c r="D1480" s="242" t="s">
        <v>352</v>
      </c>
      <c r="E1480" s="453">
        <v>1867617</v>
      </c>
      <c r="F1480" s="451">
        <v>1794134.95</v>
      </c>
      <c r="G1480" s="459">
        <f t="shared" si="23"/>
        <v>96.065464707164267</v>
      </c>
    </row>
    <row r="1481" spans="1:7" ht="25.5">
      <c r="A1481" s="241" t="s">
        <v>1319</v>
      </c>
      <c r="B1481" s="242" t="s">
        <v>669</v>
      </c>
      <c r="C1481" s="242" t="s">
        <v>1320</v>
      </c>
      <c r="D1481" s="242"/>
      <c r="E1481" s="453">
        <v>103500</v>
      </c>
      <c r="F1481" s="451">
        <v>103500</v>
      </c>
      <c r="G1481" s="459">
        <f t="shared" si="23"/>
        <v>100</v>
      </c>
    </row>
    <row r="1482" spans="1:7" ht="25.5">
      <c r="A1482" s="241" t="s">
        <v>1196</v>
      </c>
      <c r="B1482" s="242" t="s">
        <v>669</v>
      </c>
      <c r="C1482" s="242" t="s">
        <v>1197</v>
      </c>
      <c r="D1482" s="242"/>
      <c r="E1482" s="453">
        <v>103500</v>
      </c>
      <c r="F1482" s="451">
        <v>103500</v>
      </c>
      <c r="G1482" s="459">
        <f t="shared" si="23"/>
        <v>100</v>
      </c>
    </row>
    <row r="1483" spans="1:7">
      <c r="A1483" s="241" t="s">
        <v>183</v>
      </c>
      <c r="B1483" s="242" t="s">
        <v>669</v>
      </c>
      <c r="C1483" s="242" t="s">
        <v>1197</v>
      </c>
      <c r="D1483" s="242" t="s">
        <v>1140</v>
      </c>
      <c r="E1483" s="453">
        <v>103500</v>
      </c>
      <c r="F1483" s="451">
        <v>103500</v>
      </c>
      <c r="G1483" s="459">
        <f t="shared" si="23"/>
        <v>100</v>
      </c>
    </row>
    <row r="1484" spans="1:7">
      <c r="A1484" s="241" t="s">
        <v>184</v>
      </c>
      <c r="B1484" s="242" t="s">
        <v>669</v>
      </c>
      <c r="C1484" s="242" t="s">
        <v>1197</v>
      </c>
      <c r="D1484" s="242" t="s">
        <v>352</v>
      </c>
      <c r="E1484" s="453">
        <v>103500</v>
      </c>
      <c r="F1484" s="451">
        <v>103500</v>
      </c>
      <c r="G1484" s="459">
        <f t="shared" si="23"/>
        <v>100</v>
      </c>
    </row>
    <row r="1485" spans="1:7" ht="38.25">
      <c r="A1485" s="241" t="s">
        <v>1719</v>
      </c>
      <c r="B1485" s="242" t="s">
        <v>1720</v>
      </c>
      <c r="C1485" s="242"/>
      <c r="D1485" s="242"/>
      <c r="E1485" s="453">
        <v>250000</v>
      </c>
      <c r="F1485" s="451">
        <v>0</v>
      </c>
      <c r="G1485" s="459">
        <f t="shared" si="23"/>
        <v>0</v>
      </c>
    </row>
    <row r="1486" spans="1:7" ht="25.5">
      <c r="A1486" s="241" t="s">
        <v>1721</v>
      </c>
      <c r="B1486" s="242" t="s">
        <v>1722</v>
      </c>
      <c r="C1486" s="242"/>
      <c r="D1486" s="242"/>
      <c r="E1486" s="453">
        <v>150000</v>
      </c>
      <c r="F1486" s="451">
        <v>0</v>
      </c>
      <c r="G1486" s="459">
        <f t="shared" si="23"/>
        <v>0</v>
      </c>
    </row>
    <row r="1487" spans="1:7" ht="89.25">
      <c r="A1487" s="241" t="s">
        <v>1723</v>
      </c>
      <c r="B1487" s="242" t="s">
        <v>1724</v>
      </c>
      <c r="C1487" s="242"/>
      <c r="D1487" s="242"/>
      <c r="E1487" s="453">
        <v>150000</v>
      </c>
      <c r="F1487" s="451">
        <v>0</v>
      </c>
      <c r="G1487" s="459">
        <f t="shared" si="23"/>
        <v>0</v>
      </c>
    </row>
    <row r="1488" spans="1:7" ht="25.5">
      <c r="A1488" s="241" t="s">
        <v>1327</v>
      </c>
      <c r="B1488" s="242" t="s">
        <v>1724</v>
      </c>
      <c r="C1488" s="242" t="s">
        <v>1328</v>
      </c>
      <c r="D1488" s="242"/>
      <c r="E1488" s="453">
        <v>150000</v>
      </c>
      <c r="F1488" s="451">
        <v>0</v>
      </c>
      <c r="G1488" s="459">
        <f t="shared" si="23"/>
        <v>0</v>
      </c>
    </row>
    <row r="1489" spans="1:7" ht="51">
      <c r="A1489" s="241" t="s">
        <v>1947</v>
      </c>
      <c r="B1489" s="242" t="s">
        <v>1724</v>
      </c>
      <c r="C1489" s="242" t="s">
        <v>1725</v>
      </c>
      <c r="D1489" s="242"/>
      <c r="E1489" s="453">
        <v>150000</v>
      </c>
      <c r="F1489" s="451">
        <v>0</v>
      </c>
      <c r="G1489" s="459">
        <f t="shared" si="23"/>
        <v>0</v>
      </c>
    </row>
    <row r="1490" spans="1:7">
      <c r="A1490" s="241" t="s">
        <v>249</v>
      </c>
      <c r="B1490" s="242" t="s">
        <v>1724</v>
      </c>
      <c r="C1490" s="242" t="s">
        <v>1725</v>
      </c>
      <c r="D1490" s="242" t="s">
        <v>1148</v>
      </c>
      <c r="E1490" s="453">
        <v>150000</v>
      </c>
      <c r="F1490" s="451">
        <v>0</v>
      </c>
      <c r="G1490" s="459">
        <f t="shared" si="23"/>
        <v>0</v>
      </c>
    </row>
    <row r="1491" spans="1:7">
      <c r="A1491" s="241" t="s">
        <v>209</v>
      </c>
      <c r="B1491" s="242" t="s">
        <v>1724</v>
      </c>
      <c r="C1491" s="242" t="s">
        <v>1725</v>
      </c>
      <c r="D1491" s="242" t="s">
        <v>392</v>
      </c>
      <c r="E1491" s="453">
        <v>150000</v>
      </c>
      <c r="F1491" s="451">
        <v>0</v>
      </c>
      <c r="G1491" s="459">
        <f t="shared" si="23"/>
        <v>0</v>
      </c>
    </row>
    <row r="1492" spans="1:7" ht="38.25">
      <c r="A1492" s="241" t="s">
        <v>1728</v>
      </c>
      <c r="B1492" s="242" t="s">
        <v>1729</v>
      </c>
      <c r="C1492" s="242"/>
      <c r="D1492" s="242"/>
      <c r="E1492" s="453">
        <v>100000</v>
      </c>
      <c r="F1492" s="451">
        <v>0</v>
      </c>
      <c r="G1492" s="459">
        <f t="shared" si="23"/>
        <v>0</v>
      </c>
    </row>
    <row r="1493" spans="1:7" ht="89.25">
      <c r="A1493" s="241" t="s">
        <v>1730</v>
      </c>
      <c r="B1493" s="242" t="s">
        <v>1731</v>
      </c>
      <c r="C1493" s="242"/>
      <c r="D1493" s="242"/>
      <c r="E1493" s="453">
        <v>50000</v>
      </c>
      <c r="F1493" s="451">
        <v>0</v>
      </c>
      <c r="G1493" s="459">
        <f t="shared" si="23"/>
        <v>0</v>
      </c>
    </row>
    <row r="1494" spans="1:7" ht="25.5">
      <c r="A1494" s="241" t="s">
        <v>1319</v>
      </c>
      <c r="B1494" s="242" t="s">
        <v>1731</v>
      </c>
      <c r="C1494" s="242" t="s">
        <v>1320</v>
      </c>
      <c r="D1494" s="242"/>
      <c r="E1494" s="453">
        <v>50000</v>
      </c>
      <c r="F1494" s="451">
        <v>0</v>
      </c>
      <c r="G1494" s="459">
        <f t="shared" si="23"/>
        <v>0</v>
      </c>
    </row>
    <row r="1495" spans="1:7" ht="25.5">
      <c r="A1495" s="241" t="s">
        <v>1196</v>
      </c>
      <c r="B1495" s="242" t="s">
        <v>1731</v>
      </c>
      <c r="C1495" s="242" t="s">
        <v>1197</v>
      </c>
      <c r="D1495" s="242"/>
      <c r="E1495" s="453">
        <v>50000</v>
      </c>
      <c r="F1495" s="451">
        <v>0</v>
      </c>
      <c r="G1495" s="459">
        <f t="shared" si="23"/>
        <v>0</v>
      </c>
    </row>
    <row r="1496" spans="1:7">
      <c r="A1496" s="241" t="s">
        <v>249</v>
      </c>
      <c r="B1496" s="242" t="s">
        <v>1731</v>
      </c>
      <c r="C1496" s="242" t="s">
        <v>1197</v>
      </c>
      <c r="D1496" s="242" t="s">
        <v>1148</v>
      </c>
      <c r="E1496" s="453">
        <v>50000</v>
      </c>
      <c r="F1496" s="451">
        <v>0</v>
      </c>
      <c r="G1496" s="459">
        <f t="shared" si="23"/>
        <v>0</v>
      </c>
    </row>
    <row r="1497" spans="1:7">
      <c r="A1497" s="241" t="s">
        <v>209</v>
      </c>
      <c r="B1497" s="242" t="s">
        <v>1731</v>
      </c>
      <c r="C1497" s="242" t="s">
        <v>1197</v>
      </c>
      <c r="D1497" s="242" t="s">
        <v>392</v>
      </c>
      <c r="E1497" s="453">
        <v>50000</v>
      </c>
      <c r="F1497" s="451">
        <v>0</v>
      </c>
      <c r="G1497" s="459">
        <f t="shared" si="23"/>
        <v>0</v>
      </c>
    </row>
    <row r="1498" spans="1:7" ht="102">
      <c r="A1498" s="241" t="s">
        <v>1961</v>
      </c>
      <c r="B1498" s="242" t="s">
        <v>1962</v>
      </c>
      <c r="C1498" s="242"/>
      <c r="D1498" s="242"/>
      <c r="E1498" s="453">
        <v>50000</v>
      </c>
      <c r="F1498" s="451">
        <v>0</v>
      </c>
      <c r="G1498" s="459">
        <f t="shared" si="23"/>
        <v>0</v>
      </c>
    </row>
    <row r="1499" spans="1:7" ht="25.5">
      <c r="A1499" s="241" t="s">
        <v>1319</v>
      </c>
      <c r="B1499" s="242" t="s">
        <v>1962</v>
      </c>
      <c r="C1499" s="242" t="s">
        <v>1320</v>
      </c>
      <c r="D1499" s="242"/>
      <c r="E1499" s="453">
        <v>50000</v>
      </c>
      <c r="F1499" s="451">
        <v>0</v>
      </c>
      <c r="G1499" s="459">
        <f t="shared" si="23"/>
        <v>0</v>
      </c>
    </row>
    <row r="1500" spans="1:7" ht="25.5">
      <c r="A1500" s="241" t="s">
        <v>1196</v>
      </c>
      <c r="B1500" s="242" t="s">
        <v>1962</v>
      </c>
      <c r="C1500" s="242" t="s">
        <v>1197</v>
      </c>
      <c r="D1500" s="242"/>
      <c r="E1500" s="453">
        <v>50000</v>
      </c>
      <c r="F1500" s="451">
        <v>0</v>
      </c>
      <c r="G1500" s="459">
        <f t="shared" si="23"/>
        <v>0</v>
      </c>
    </row>
    <row r="1501" spans="1:7">
      <c r="A1501" s="241" t="s">
        <v>249</v>
      </c>
      <c r="B1501" s="242" t="s">
        <v>1962</v>
      </c>
      <c r="C1501" s="242" t="s">
        <v>1197</v>
      </c>
      <c r="D1501" s="242" t="s">
        <v>1148</v>
      </c>
      <c r="E1501" s="453">
        <v>50000</v>
      </c>
      <c r="F1501" s="451">
        <v>0</v>
      </c>
      <c r="G1501" s="459">
        <f t="shared" si="23"/>
        <v>0</v>
      </c>
    </row>
    <row r="1502" spans="1:7">
      <c r="A1502" s="241" t="s">
        <v>209</v>
      </c>
      <c r="B1502" s="242" t="s">
        <v>1962</v>
      </c>
      <c r="C1502" s="242" t="s">
        <v>1197</v>
      </c>
      <c r="D1502" s="242" t="s">
        <v>392</v>
      </c>
      <c r="E1502" s="453">
        <v>50000</v>
      </c>
      <c r="F1502" s="451">
        <v>0</v>
      </c>
      <c r="G1502" s="459">
        <f t="shared" si="23"/>
        <v>0</v>
      </c>
    </row>
    <row r="1503" spans="1:7" ht="25.5">
      <c r="A1503" s="241" t="s">
        <v>599</v>
      </c>
      <c r="B1503" s="242" t="s">
        <v>1006</v>
      </c>
      <c r="C1503" s="242"/>
      <c r="D1503" s="242"/>
      <c r="E1503" s="453">
        <v>94927339.030000001</v>
      </c>
      <c r="F1503" s="451">
        <v>93431403.849999994</v>
      </c>
      <c r="G1503" s="459">
        <f t="shared" si="23"/>
        <v>98.424126078655547</v>
      </c>
    </row>
    <row r="1504" spans="1:7" ht="38.25">
      <c r="A1504" s="241" t="s">
        <v>323</v>
      </c>
      <c r="B1504" s="242" t="s">
        <v>1007</v>
      </c>
      <c r="C1504" s="242"/>
      <c r="D1504" s="242"/>
      <c r="E1504" s="453">
        <v>2003661</v>
      </c>
      <c r="F1504" s="451">
        <v>1999988.55</v>
      </c>
      <c r="G1504" s="459">
        <f t="shared" si="23"/>
        <v>99.816713006840985</v>
      </c>
    </row>
    <row r="1505" spans="1:7" ht="63.75">
      <c r="A1505" s="241" t="s">
        <v>2033</v>
      </c>
      <c r="B1505" s="242" t="s">
        <v>2196</v>
      </c>
      <c r="C1505" s="242"/>
      <c r="D1505" s="242"/>
      <c r="E1505" s="453">
        <v>80870</v>
      </c>
      <c r="F1505" s="451">
        <v>80870</v>
      </c>
      <c r="G1505" s="459">
        <f t="shared" si="23"/>
        <v>100</v>
      </c>
    </row>
    <row r="1506" spans="1:7" ht="63.75">
      <c r="A1506" s="241" t="s">
        <v>1318</v>
      </c>
      <c r="B1506" s="242" t="s">
        <v>2196</v>
      </c>
      <c r="C1506" s="242" t="s">
        <v>273</v>
      </c>
      <c r="D1506" s="242"/>
      <c r="E1506" s="453">
        <v>80870</v>
      </c>
      <c r="F1506" s="451">
        <v>80870</v>
      </c>
      <c r="G1506" s="459">
        <f t="shared" si="23"/>
        <v>100</v>
      </c>
    </row>
    <row r="1507" spans="1:7" ht="25.5">
      <c r="A1507" s="241" t="s">
        <v>1203</v>
      </c>
      <c r="B1507" s="242" t="s">
        <v>2196</v>
      </c>
      <c r="C1507" s="242" t="s">
        <v>28</v>
      </c>
      <c r="D1507" s="242"/>
      <c r="E1507" s="453">
        <v>80870</v>
      </c>
      <c r="F1507" s="451">
        <v>80870</v>
      </c>
      <c r="G1507" s="459">
        <f t="shared" si="23"/>
        <v>100</v>
      </c>
    </row>
    <row r="1508" spans="1:7">
      <c r="A1508" s="241" t="s">
        <v>234</v>
      </c>
      <c r="B1508" s="242" t="s">
        <v>2196</v>
      </c>
      <c r="C1508" s="242" t="s">
        <v>28</v>
      </c>
      <c r="D1508" s="242" t="s">
        <v>1135</v>
      </c>
      <c r="E1508" s="453">
        <v>80870</v>
      </c>
      <c r="F1508" s="451">
        <v>80870</v>
      </c>
      <c r="G1508" s="459">
        <f t="shared" si="23"/>
        <v>100</v>
      </c>
    </row>
    <row r="1509" spans="1:7" ht="25.5">
      <c r="A1509" s="241" t="s">
        <v>1308</v>
      </c>
      <c r="B1509" s="242" t="s">
        <v>2196</v>
      </c>
      <c r="C1509" s="242" t="s">
        <v>28</v>
      </c>
      <c r="D1509" s="242" t="s">
        <v>322</v>
      </c>
      <c r="E1509" s="453">
        <v>80870</v>
      </c>
      <c r="F1509" s="451">
        <v>80870</v>
      </c>
      <c r="G1509" s="459">
        <f t="shared" si="23"/>
        <v>100</v>
      </c>
    </row>
    <row r="1510" spans="1:7" ht="38.25">
      <c r="A1510" s="241" t="s">
        <v>323</v>
      </c>
      <c r="B1510" s="242" t="s">
        <v>644</v>
      </c>
      <c r="C1510" s="242"/>
      <c r="D1510" s="242"/>
      <c r="E1510" s="453">
        <v>1922791</v>
      </c>
      <c r="F1510" s="451">
        <v>1919118.55</v>
      </c>
      <c r="G1510" s="459">
        <f t="shared" si="23"/>
        <v>99.809004202744873</v>
      </c>
    </row>
    <row r="1511" spans="1:7" ht="63.75">
      <c r="A1511" s="241" t="s">
        <v>1318</v>
      </c>
      <c r="B1511" s="242" t="s">
        <v>644</v>
      </c>
      <c r="C1511" s="242" t="s">
        <v>273</v>
      </c>
      <c r="D1511" s="242"/>
      <c r="E1511" s="453">
        <v>1922791</v>
      </c>
      <c r="F1511" s="451">
        <v>1919118.55</v>
      </c>
      <c r="G1511" s="459">
        <f t="shared" si="23"/>
        <v>99.809004202744873</v>
      </c>
    </row>
    <row r="1512" spans="1:7" ht="25.5">
      <c r="A1512" s="241" t="s">
        <v>1203</v>
      </c>
      <c r="B1512" s="242" t="s">
        <v>644</v>
      </c>
      <c r="C1512" s="242" t="s">
        <v>28</v>
      </c>
      <c r="D1512" s="242"/>
      <c r="E1512" s="453">
        <v>1922791</v>
      </c>
      <c r="F1512" s="451">
        <v>1919118.55</v>
      </c>
      <c r="G1512" s="459">
        <f t="shared" si="23"/>
        <v>99.809004202744873</v>
      </c>
    </row>
    <row r="1513" spans="1:7">
      <c r="A1513" s="241" t="s">
        <v>234</v>
      </c>
      <c r="B1513" s="242" t="s">
        <v>644</v>
      </c>
      <c r="C1513" s="242" t="s">
        <v>28</v>
      </c>
      <c r="D1513" s="242" t="s">
        <v>1135</v>
      </c>
      <c r="E1513" s="453">
        <v>1922791</v>
      </c>
      <c r="F1513" s="451">
        <v>1919118.55</v>
      </c>
      <c r="G1513" s="459">
        <f t="shared" si="23"/>
        <v>99.809004202744873</v>
      </c>
    </row>
    <row r="1514" spans="1:7" ht="25.5">
      <c r="A1514" s="241" t="s">
        <v>1308</v>
      </c>
      <c r="B1514" s="242" t="s">
        <v>644</v>
      </c>
      <c r="C1514" s="242" t="s">
        <v>28</v>
      </c>
      <c r="D1514" s="242" t="s">
        <v>322</v>
      </c>
      <c r="E1514" s="453">
        <v>1922791</v>
      </c>
      <c r="F1514" s="451">
        <v>1919118.55</v>
      </c>
      <c r="G1514" s="459">
        <f t="shared" si="23"/>
        <v>99.809004202744873</v>
      </c>
    </row>
    <row r="1515" spans="1:7" ht="38.25">
      <c r="A1515" s="241" t="s">
        <v>600</v>
      </c>
      <c r="B1515" s="242" t="s">
        <v>1008</v>
      </c>
      <c r="C1515" s="242"/>
      <c r="D1515" s="242"/>
      <c r="E1515" s="453">
        <v>88437528.209999993</v>
      </c>
      <c r="F1515" s="451">
        <v>86953334.950000003</v>
      </c>
      <c r="G1515" s="459">
        <f t="shared" si="23"/>
        <v>98.321760806706763</v>
      </c>
    </row>
    <row r="1516" spans="1:7" ht="63.75">
      <c r="A1516" s="241" t="s">
        <v>1346</v>
      </c>
      <c r="B1516" s="242" t="s">
        <v>1347</v>
      </c>
      <c r="C1516" s="242"/>
      <c r="D1516" s="242"/>
      <c r="E1516" s="453">
        <v>1025900</v>
      </c>
      <c r="F1516" s="451">
        <v>1000700</v>
      </c>
      <c r="G1516" s="459">
        <f t="shared" si="23"/>
        <v>97.543620235890444</v>
      </c>
    </row>
    <row r="1517" spans="1:7" ht="63.75">
      <c r="A1517" s="241" t="s">
        <v>1318</v>
      </c>
      <c r="B1517" s="242" t="s">
        <v>1347</v>
      </c>
      <c r="C1517" s="242" t="s">
        <v>273</v>
      </c>
      <c r="D1517" s="242"/>
      <c r="E1517" s="453">
        <v>916900</v>
      </c>
      <c r="F1517" s="451">
        <v>891700</v>
      </c>
      <c r="G1517" s="459">
        <f t="shared" si="23"/>
        <v>97.251608681426546</v>
      </c>
    </row>
    <row r="1518" spans="1:7" ht="25.5">
      <c r="A1518" s="241" t="s">
        <v>1203</v>
      </c>
      <c r="B1518" s="242" t="s">
        <v>1347</v>
      </c>
      <c r="C1518" s="242" t="s">
        <v>28</v>
      </c>
      <c r="D1518" s="242"/>
      <c r="E1518" s="453">
        <v>916900</v>
      </c>
      <c r="F1518" s="451">
        <v>891700</v>
      </c>
      <c r="G1518" s="459">
        <f t="shared" si="23"/>
        <v>97.251608681426546</v>
      </c>
    </row>
    <row r="1519" spans="1:7">
      <c r="A1519" s="241" t="s">
        <v>141</v>
      </c>
      <c r="B1519" s="242" t="s">
        <v>1347</v>
      </c>
      <c r="C1519" s="242" t="s">
        <v>28</v>
      </c>
      <c r="D1519" s="242" t="s">
        <v>1143</v>
      </c>
      <c r="E1519" s="453">
        <v>916900</v>
      </c>
      <c r="F1519" s="451">
        <v>891700</v>
      </c>
      <c r="G1519" s="459">
        <f t="shared" si="23"/>
        <v>97.251608681426546</v>
      </c>
    </row>
    <row r="1520" spans="1:7">
      <c r="A1520" s="241" t="s">
        <v>63</v>
      </c>
      <c r="B1520" s="242" t="s">
        <v>1347</v>
      </c>
      <c r="C1520" s="242" t="s">
        <v>28</v>
      </c>
      <c r="D1520" s="242" t="s">
        <v>394</v>
      </c>
      <c r="E1520" s="453">
        <v>916900</v>
      </c>
      <c r="F1520" s="451">
        <v>891700</v>
      </c>
      <c r="G1520" s="459">
        <f t="shared" si="23"/>
        <v>97.251608681426546</v>
      </c>
    </row>
    <row r="1521" spans="1:7" ht="25.5">
      <c r="A1521" s="241" t="s">
        <v>1319</v>
      </c>
      <c r="B1521" s="242" t="s">
        <v>1347</v>
      </c>
      <c r="C1521" s="242" t="s">
        <v>1320</v>
      </c>
      <c r="D1521" s="242"/>
      <c r="E1521" s="453">
        <v>109000</v>
      </c>
      <c r="F1521" s="451">
        <v>109000</v>
      </c>
      <c r="G1521" s="459">
        <f t="shared" si="23"/>
        <v>100</v>
      </c>
    </row>
    <row r="1522" spans="1:7" ht="25.5">
      <c r="A1522" s="241" t="s">
        <v>1196</v>
      </c>
      <c r="B1522" s="242" t="s">
        <v>1347</v>
      </c>
      <c r="C1522" s="242" t="s">
        <v>1197</v>
      </c>
      <c r="D1522" s="242"/>
      <c r="E1522" s="453">
        <v>109000</v>
      </c>
      <c r="F1522" s="451">
        <v>109000</v>
      </c>
      <c r="G1522" s="459">
        <f t="shared" si="23"/>
        <v>100</v>
      </c>
    </row>
    <row r="1523" spans="1:7">
      <c r="A1523" s="241" t="s">
        <v>141</v>
      </c>
      <c r="B1523" s="242" t="s">
        <v>1347</v>
      </c>
      <c r="C1523" s="242" t="s">
        <v>1197</v>
      </c>
      <c r="D1523" s="242" t="s">
        <v>1143</v>
      </c>
      <c r="E1523" s="453">
        <v>109000</v>
      </c>
      <c r="F1523" s="451">
        <v>109000</v>
      </c>
      <c r="G1523" s="459">
        <f t="shared" si="23"/>
        <v>100</v>
      </c>
    </row>
    <row r="1524" spans="1:7">
      <c r="A1524" s="241" t="s">
        <v>63</v>
      </c>
      <c r="B1524" s="242" t="s">
        <v>1347</v>
      </c>
      <c r="C1524" s="242" t="s">
        <v>1197</v>
      </c>
      <c r="D1524" s="242" t="s">
        <v>394</v>
      </c>
      <c r="E1524" s="453">
        <v>109000</v>
      </c>
      <c r="F1524" s="451">
        <v>109000</v>
      </c>
      <c r="G1524" s="459">
        <f t="shared" si="23"/>
        <v>100</v>
      </c>
    </row>
    <row r="1525" spans="1:7" ht="63.75">
      <c r="A1525" s="241" t="s">
        <v>2217</v>
      </c>
      <c r="B1525" s="242" t="s">
        <v>2218</v>
      </c>
      <c r="C1525" s="242"/>
      <c r="D1525" s="242"/>
      <c r="E1525" s="453">
        <v>250735</v>
      </c>
      <c r="F1525" s="451">
        <v>250735</v>
      </c>
      <c r="G1525" s="459">
        <f t="shared" si="23"/>
        <v>100</v>
      </c>
    </row>
    <row r="1526" spans="1:7" ht="63.75">
      <c r="A1526" s="241" t="s">
        <v>1318</v>
      </c>
      <c r="B1526" s="242" t="s">
        <v>2218</v>
      </c>
      <c r="C1526" s="242" t="s">
        <v>273</v>
      </c>
      <c r="D1526" s="242"/>
      <c r="E1526" s="453">
        <v>250735</v>
      </c>
      <c r="F1526" s="451">
        <v>250735</v>
      </c>
      <c r="G1526" s="459">
        <f t="shared" si="23"/>
        <v>100</v>
      </c>
    </row>
    <row r="1527" spans="1:7" ht="25.5">
      <c r="A1527" s="241" t="s">
        <v>1203</v>
      </c>
      <c r="B1527" s="242" t="s">
        <v>2218</v>
      </c>
      <c r="C1527" s="242" t="s">
        <v>28</v>
      </c>
      <c r="D1527" s="242"/>
      <c r="E1527" s="453">
        <v>250735</v>
      </c>
      <c r="F1527" s="451">
        <v>250735</v>
      </c>
      <c r="G1527" s="459">
        <f t="shared" si="23"/>
        <v>100</v>
      </c>
    </row>
    <row r="1528" spans="1:7">
      <c r="A1528" s="241" t="s">
        <v>234</v>
      </c>
      <c r="B1528" s="242" t="s">
        <v>2218</v>
      </c>
      <c r="C1528" s="242" t="s">
        <v>28</v>
      </c>
      <c r="D1528" s="242" t="s">
        <v>1135</v>
      </c>
      <c r="E1528" s="453">
        <v>250735</v>
      </c>
      <c r="F1528" s="451">
        <v>250735</v>
      </c>
      <c r="G1528" s="459">
        <f t="shared" si="23"/>
        <v>100</v>
      </c>
    </row>
    <row r="1529" spans="1:7" ht="51">
      <c r="A1529" s="241" t="s">
        <v>236</v>
      </c>
      <c r="B1529" s="242" t="s">
        <v>2218</v>
      </c>
      <c r="C1529" s="242" t="s">
        <v>28</v>
      </c>
      <c r="D1529" s="242" t="s">
        <v>333</v>
      </c>
      <c r="E1529" s="453">
        <v>250735</v>
      </c>
      <c r="F1529" s="451">
        <v>250735</v>
      </c>
      <c r="G1529" s="459">
        <f t="shared" si="23"/>
        <v>100</v>
      </c>
    </row>
    <row r="1530" spans="1:7" ht="102">
      <c r="A1530" s="241" t="s">
        <v>2031</v>
      </c>
      <c r="B1530" s="242" t="s">
        <v>2032</v>
      </c>
      <c r="C1530" s="242"/>
      <c r="D1530" s="242"/>
      <c r="E1530" s="453">
        <v>246900</v>
      </c>
      <c r="F1530" s="451">
        <v>246900</v>
      </c>
      <c r="G1530" s="459">
        <f t="shared" si="23"/>
        <v>100</v>
      </c>
    </row>
    <row r="1531" spans="1:7" ht="63.75">
      <c r="A1531" s="241" t="s">
        <v>1318</v>
      </c>
      <c r="B1531" s="242" t="s">
        <v>2032</v>
      </c>
      <c r="C1531" s="242" t="s">
        <v>273</v>
      </c>
      <c r="D1531" s="242"/>
      <c r="E1531" s="453">
        <v>246900</v>
      </c>
      <c r="F1531" s="451">
        <v>246900</v>
      </c>
      <c r="G1531" s="459">
        <f t="shared" si="23"/>
        <v>100</v>
      </c>
    </row>
    <row r="1532" spans="1:7" ht="25.5">
      <c r="A1532" s="241" t="s">
        <v>1203</v>
      </c>
      <c r="B1532" s="242" t="s">
        <v>2032</v>
      </c>
      <c r="C1532" s="242" t="s">
        <v>28</v>
      </c>
      <c r="D1532" s="242"/>
      <c r="E1532" s="453">
        <v>246900</v>
      </c>
      <c r="F1532" s="451">
        <v>246900</v>
      </c>
      <c r="G1532" s="459">
        <f t="shared" si="23"/>
        <v>100</v>
      </c>
    </row>
    <row r="1533" spans="1:7">
      <c r="A1533" s="241" t="s">
        <v>234</v>
      </c>
      <c r="B1533" s="242" t="s">
        <v>2032</v>
      </c>
      <c r="C1533" s="242" t="s">
        <v>28</v>
      </c>
      <c r="D1533" s="242" t="s">
        <v>1135</v>
      </c>
      <c r="E1533" s="453">
        <v>246900</v>
      </c>
      <c r="F1533" s="451">
        <v>246900</v>
      </c>
      <c r="G1533" s="459">
        <f t="shared" si="23"/>
        <v>100</v>
      </c>
    </row>
    <row r="1534" spans="1:7" ht="51">
      <c r="A1534" s="241" t="s">
        <v>236</v>
      </c>
      <c r="B1534" s="242" t="s">
        <v>2032</v>
      </c>
      <c r="C1534" s="242" t="s">
        <v>28</v>
      </c>
      <c r="D1534" s="242" t="s">
        <v>333</v>
      </c>
      <c r="E1534" s="453">
        <v>246900</v>
      </c>
      <c r="F1534" s="451">
        <v>246900</v>
      </c>
      <c r="G1534" s="459">
        <f t="shared" si="23"/>
        <v>100</v>
      </c>
    </row>
    <row r="1535" spans="1:7" ht="63.75">
      <c r="A1535" s="241" t="s">
        <v>2033</v>
      </c>
      <c r="B1535" s="242" t="s">
        <v>2034</v>
      </c>
      <c r="C1535" s="242"/>
      <c r="D1535" s="242"/>
      <c r="E1535" s="453">
        <v>2958898</v>
      </c>
      <c r="F1535" s="451">
        <v>2958898</v>
      </c>
      <c r="G1535" s="459">
        <f t="shared" si="23"/>
        <v>100</v>
      </c>
    </row>
    <row r="1536" spans="1:7" ht="63.75">
      <c r="A1536" s="241" t="s">
        <v>1318</v>
      </c>
      <c r="B1536" s="242" t="s">
        <v>2034</v>
      </c>
      <c r="C1536" s="242" t="s">
        <v>273</v>
      </c>
      <c r="D1536" s="242"/>
      <c r="E1536" s="453">
        <v>2958898</v>
      </c>
      <c r="F1536" s="451">
        <v>2958898</v>
      </c>
      <c r="G1536" s="459">
        <f t="shared" si="23"/>
        <v>100</v>
      </c>
    </row>
    <row r="1537" spans="1:7" ht="25.5">
      <c r="A1537" s="241" t="s">
        <v>1203</v>
      </c>
      <c r="B1537" s="242" t="s">
        <v>2034</v>
      </c>
      <c r="C1537" s="242" t="s">
        <v>28</v>
      </c>
      <c r="D1537" s="242"/>
      <c r="E1537" s="453">
        <v>2958898</v>
      </c>
      <c r="F1537" s="451">
        <v>2958898</v>
      </c>
      <c r="G1537" s="459">
        <f t="shared" si="23"/>
        <v>100</v>
      </c>
    </row>
    <row r="1538" spans="1:7">
      <c r="A1538" s="241" t="s">
        <v>234</v>
      </c>
      <c r="B1538" s="242" t="s">
        <v>2034</v>
      </c>
      <c r="C1538" s="242" t="s">
        <v>28</v>
      </c>
      <c r="D1538" s="242" t="s">
        <v>1135</v>
      </c>
      <c r="E1538" s="453">
        <v>2958898</v>
      </c>
      <c r="F1538" s="451">
        <v>2958898</v>
      </c>
      <c r="G1538" s="459">
        <f t="shared" si="23"/>
        <v>100</v>
      </c>
    </row>
    <row r="1539" spans="1:7" ht="38.25">
      <c r="A1539" s="241" t="s">
        <v>67</v>
      </c>
      <c r="B1539" s="242" t="s">
        <v>2034</v>
      </c>
      <c r="C1539" s="242" t="s">
        <v>28</v>
      </c>
      <c r="D1539" s="242" t="s">
        <v>327</v>
      </c>
      <c r="E1539" s="453">
        <v>118890</v>
      </c>
      <c r="F1539" s="451">
        <v>118890</v>
      </c>
      <c r="G1539" s="459">
        <f t="shared" si="23"/>
        <v>100</v>
      </c>
    </row>
    <row r="1540" spans="1:7" ht="51">
      <c r="A1540" s="241" t="s">
        <v>236</v>
      </c>
      <c r="B1540" s="242" t="s">
        <v>2034</v>
      </c>
      <c r="C1540" s="242" t="s">
        <v>28</v>
      </c>
      <c r="D1540" s="242" t="s">
        <v>333</v>
      </c>
      <c r="E1540" s="453">
        <v>2800378</v>
      </c>
      <c r="F1540" s="451">
        <v>2800378</v>
      </c>
      <c r="G1540" s="459">
        <f t="shared" si="23"/>
        <v>100</v>
      </c>
    </row>
    <row r="1541" spans="1:7" ht="38.25">
      <c r="A1541" s="241" t="s">
        <v>216</v>
      </c>
      <c r="B1541" s="242" t="s">
        <v>2034</v>
      </c>
      <c r="C1541" s="242" t="s">
        <v>28</v>
      </c>
      <c r="D1541" s="242" t="s">
        <v>331</v>
      </c>
      <c r="E1541" s="453">
        <v>39630</v>
      </c>
      <c r="F1541" s="451">
        <v>39630</v>
      </c>
      <c r="G1541" s="459">
        <f t="shared" si="23"/>
        <v>100</v>
      </c>
    </row>
    <row r="1542" spans="1:7" ht="38.25">
      <c r="A1542" s="241" t="s">
        <v>328</v>
      </c>
      <c r="B1542" s="242" t="s">
        <v>638</v>
      </c>
      <c r="C1542" s="242"/>
      <c r="D1542" s="242"/>
      <c r="E1542" s="453">
        <v>56952078.740000002</v>
      </c>
      <c r="F1542" s="451">
        <v>56650720.350000001</v>
      </c>
      <c r="G1542" s="459">
        <f t="shared" si="23"/>
        <v>99.470856206362939</v>
      </c>
    </row>
    <row r="1543" spans="1:7" ht="63.75">
      <c r="A1543" s="241" t="s">
        <v>1318</v>
      </c>
      <c r="B1543" s="242" t="s">
        <v>638</v>
      </c>
      <c r="C1543" s="242" t="s">
        <v>273</v>
      </c>
      <c r="D1543" s="242"/>
      <c r="E1543" s="453">
        <v>47320972.079999998</v>
      </c>
      <c r="F1543" s="451">
        <v>47171791.520000003</v>
      </c>
      <c r="G1543" s="459">
        <f t="shared" ref="G1543:G1606" si="24">F1543/E1543*100</f>
        <v>99.684747473598406</v>
      </c>
    </row>
    <row r="1544" spans="1:7" ht="25.5">
      <c r="A1544" s="241" t="s">
        <v>1203</v>
      </c>
      <c r="B1544" s="242" t="s">
        <v>638</v>
      </c>
      <c r="C1544" s="242" t="s">
        <v>28</v>
      </c>
      <c r="D1544" s="242"/>
      <c r="E1544" s="453">
        <v>47320972.079999998</v>
      </c>
      <c r="F1544" s="451">
        <v>47171791.520000003</v>
      </c>
      <c r="G1544" s="459">
        <f t="shared" si="24"/>
        <v>99.684747473598406</v>
      </c>
    </row>
    <row r="1545" spans="1:7">
      <c r="A1545" s="241" t="s">
        <v>234</v>
      </c>
      <c r="B1545" s="242" t="s">
        <v>638</v>
      </c>
      <c r="C1545" s="242" t="s">
        <v>28</v>
      </c>
      <c r="D1545" s="242" t="s">
        <v>1135</v>
      </c>
      <c r="E1545" s="453">
        <v>47320972.079999998</v>
      </c>
      <c r="F1545" s="451">
        <v>47171791.520000003</v>
      </c>
      <c r="G1545" s="459">
        <f t="shared" si="24"/>
        <v>99.684747473598406</v>
      </c>
    </row>
    <row r="1546" spans="1:7" ht="38.25">
      <c r="A1546" s="241" t="s">
        <v>67</v>
      </c>
      <c r="B1546" s="242" t="s">
        <v>638</v>
      </c>
      <c r="C1546" s="242" t="s">
        <v>28</v>
      </c>
      <c r="D1546" s="242" t="s">
        <v>327</v>
      </c>
      <c r="E1546" s="453">
        <v>2801875.7</v>
      </c>
      <c r="F1546" s="451">
        <v>2796912.7</v>
      </c>
      <c r="G1546" s="459">
        <f t="shared" si="24"/>
        <v>99.822868659020102</v>
      </c>
    </row>
    <row r="1547" spans="1:7" ht="51">
      <c r="A1547" s="241" t="s">
        <v>236</v>
      </c>
      <c r="B1547" s="242" t="s">
        <v>638</v>
      </c>
      <c r="C1547" s="242" t="s">
        <v>28</v>
      </c>
      <c r="D1547" s="242" t="s">
        <v>333</v>
      </c>
      <c r="E1547" s="453">
        <v>43590522.380000003</v>
      </c>
      <c r="F1547" s="451">
        <v>43447254.82</v>
      </c>
      <c r="G1547" s="459">
        <f t="shared" si="24"/>
        <v>99.671333234433234</v>
      </c>
    </row>
    <row r="1548" spans="1:7" ht="38.25">
      <c r="A1548" s="241" t="s">
        <v>216</v>
      </c>
      <c r="B1548" s="242" t="s">
        <v>638</v>
      </c>
      <c r="C1548" s="242" t="s">
        <v>28</v>
      </c>
      <c r="D1548" s="242" t="s">
        <v>331</v>
      </c>
      <c r="E1548" s="453">
        <v>928574</v>
      </c>
      <c r="F1548" s="451">
        <v>927624</v>
      </c>
      <c r="G1548" s="459">
        <f t="shared" si="24"/>
        <v>99.897692591005125</v>
      </c>
    </row>
    <row r="1549" spans="1:7" ht="25.5">
      <c r="A1549" s="241" t="s">
        <v>1319</v>
      </c>
      <c r="B1549" s="242" t="s">
        <v>638</v>
      </c>
      <c r="C1549" s="242" t="s">
        <v>1320</v>
      </c>
      <c r="D1549" s="242"/>
      <c r="E1549" s="453">
        <v>8748110.1500000004</v>
      </c>
      <c r="F1549" s="451">
        <v>8595932.3200000003</v>
      </c>
      <c r="G1549" s="459">
        <f t="shared" si="24"/>
        <v>98.260449086823627</v>
      </c>
    </row>
    <row r="1550" spans="1:7" ht="25.5">
      <c r="A1550" s="241" t="s">
        <v>1196</v>
      </c>
      <c r="B1550" s="242" t="s">
        <v>638</v>
      </c>
      <c r="C1550" s="242" t="s">
        <v>1197</v>
      </c>
      <c r="D1550" s="242"/>
      <c r="E1550" s="453">
        <v>8748110.1500000004</v>
      </c>
      <c r="F1550" s="451">
        <v>8595932.3200000003</v>
      </c>
      <c r="G1550" s="459">
        <f t="shared" si="24"/>
        <v>98.260449086823627</v>
      </c>
    </row>
    <row r="1551" spans="1:7">
      <c r="A1551" s="241" t="s">
        <v>234</v>
      </c>
      <c r="B1551" s="242" t="s">
        <v>638</v>
      </c>
      <c r="C1551" s="242" t="s">
        <v>1197</v>
      </c>
      <c r="D1551" s="242" t="s">
        <v>1135</v>
      </c>
      <c r="E1551" s="453">
        <v>8748110.1500000004</v>
      </c>
      <c r="F1551" s="451">
        <v>8595932.3200000003</v>
      </c>
      <c r="G1551" s="459">
        <f t="shared" si="24"/>
        <v>98.260449086823627</v>
      </c>
    </row>
    <row r="1552" spans="1:7" ht="38.25">
      <c r="A1552" s="241" t="s">
        <v>67</v>
      </c>
      <c r="B1552" s="242" t="s">
        <v>638</v>
      </c>
      <c r="C1552" s="242" t="s">
        <v>1197</v>
      </c>
      <c r="D1552" s="242" t="s">
        <v>327</v>
      </c>
      <c r="E1552" s="453">
        <v>475921.52</v>
      </c>
      <c r="F1552" s="451">
        <v>473300.72</v>
      </c>
      <c r="G1552" s="459">
        <f t="shared" si="24"/>
        <v>99.44932097207959</v>
      </c>
    </row>
    <row r="1553" spans="1:7" ht="51">
      <c r="A1553" s="241" t="s">
        <v>236</v>
      </c>
      <c r="B1553" s="242" t="s">
        <v>638</v>
      </c>
      <c r="C1553" s="242" t="s">
        <v>1197</v>
      </c>
      <c r="D1553" s="242" t="s">
        <v>333</v>
      </c>
      <c r="E1553" s="453">
        <v>8213436.6299999999</v>
      </c>
      <c r="F1553" s="451">
        <v>8066857.2800000003</v>
      </c>
      <c r="G1553" s="459">
        <f t="shared" si="24"/>
        <v>98.215371267800251</v>
      </c>
    </row>
    <row r="1554" spans="1:7" ht="38.25">
      <c r="A1554" s="241" t="s">
        <v>216</v>
      </c>
      <c r="B1554" s="242" t="s">
        <v>638</v>
      </c>
      <c r="C1554" s="242" t="s">
        <v>1197</v>
      </c>
      <c r="D1554" s="242" t="s">
        <v>331</v>
      </c>
      <c r="E1554" s="453">
        <v>58752</v>
      </c>
      <c r="F1554" s="451">
        <v>55774.32</v>
      </c>
      <c r="G1554" s="459">
        <f t="shared" si="24"/>
        <v>94.931781045751634</v>
      </c>
    </row>
    <row r="1555" spans="1:7">
      <c r="A1555" s="241" t="s">
        <v>1321</v>
      </c>
      <c r="B1555" s="242" t="s">
        <v>638</v>
      </c>
      <c r="C1555" s="242" t="s">
        <v>1322</v>
      </c>
      <c r="D1555" s="242"/>
      <c r="E1555" s="453">
        <v>882996.51</v>
      </c>
      <c r="F1555" s="451">
        <v>882996.51</v>
      </c>
      <c r="G1555" s="459">
        <f t="shared" si="24"/>
        <v>100</v>
      </c>
    </row>
    <row r="1556" spans="1:7">
      <c r="A1556" s="241" t="s">
        <v>1201</v>
      </c>
      <c r="B1556" s="242" t="s">
        <v>638</v>
      </c>
      <c r="C1556" s="242" t="s">
        <v>1202</v>
      </c>
      <c r="D1556" s="242"/>
      <c r="E1556" s="453">
        <v>882996.51</v>
      </c>
      <c r="F1556" s="451">
        <v>882996.51</v>
      </c>
      <c r="G1556" s="459">
        <f t="shared" si="24"/>
        <v>100</v>
      </c>
    </row>
    <row r="1557" spans="1:7">
      <c r="A1557" s="241" t="s">
        <v>234</v>
      </c>
      <c r="B1557" s="242" t="s">
        <v>638</v>
      </c>
      <c r="C1557" s="242" t="s">
        <v>1202</v>
      </c>
      <c r="D1557" s="242" t="s">
        <v>1135</v>
      </c>
      <c r="E1557" s="453">
        <v>882996.51</v>
      </c>
      <c r="F1557" s="451">
        <v>882996.51</v>
      </c>
      <c r="G1557" s="459">
        <f t="shared" si="24"/>
        <v>100</v>
      </c>
    </row>
    <row r="1558" spans="1:7" ht="51">
      <c r="A1558" s="241" t="s">
        <v>236</v>
      </c>
      <c r="B1558" s="242" t="s">
        <v>638</v>
      </c>
      <c r="C1558" s="242" t="s">
        <v>1202</v>
      </c>
      <c r="D1558" s="242" t="s">
        <v>333</v>
      </c>
      <c r="E1558" s="453">
        <v>882973.31</v>
      </c>
      <c r="F1558" s="451">
        <v>882973.31</v>
      </c>
      <c r="G1558" s="459">
        <f t="shared" si="24"/>
        <v>100</v>
      </c>
    </row>
    <row r="1559" spans="1:7" ht="38.25">
      <c r="A1559" s="241" t="s">
        <v>216</v>
      </c>
      <c r="B1559" s="242" t="s">
        <v>638</v>
      </c>
      <c r="C1559" s="242" t="s">
        <v>1202</v>
      </c>
      <c r="D1559" s="242" t="s">
        <v>331</v>
      </c>
      <c r="E1559" s="453">
        <v>23.2</v>
      </c>
      <c r="F1559" s="451">
        <v>23.2</v>
      </c>
      <c r="G1559" s="459">
        <f t="shared" si="24"/>
        <v>100</v>
      </c>
    </row>
    <row r="1560" spans="1:7" ht="76.5">
      <c r="A1560" s="241" t="s">
        <v>560</v>
      </c>
      <c r="B1560" s="242" t="s">
        <v>648</v>
      </c>
      <c r="C1560" s="242"/>
      <c r="D1560" s="242"/>
      <c r="E1560" s="453">
        <v>1954860</v>
      </c>
      <c r="F1560" s="451">
        <v>1921054.41</v>
      </c>
      <c r="G1560" s="459">
        <f t="shared" si="24"/>
        <v>98.270689972683471</v>
      </c>
    </row>
    <row r="1561" spans="1:7" ht="63.75">
      <c r="A1561" s="241" t="s">
        <v>1318</v>
      </c>
      <c r="B1561" s="242" t="s">
        <v>648</v>
      </c>
      <c r="C1561" s="242" t="s">
        <v>273</v>
      </c>
      <c r="D1561" s="242"/>
      <c r="E1561" s="453">
        <v>1954860</v>
      </c>
      <c r="F1561" s="451">
        <v>1921054.41</v>
      </c>
      <c r="G1561" s="459">
        <f t="shared" si="24"/>
        <v>98.270689972683471</v>
      </c>
    </row>
    <row r="1562" spans="1:7" ht="25.5">
      <c r="A1562" s="241" t="s">
        <v>1203</v>
      </c>
      <c r="B1562" s="242" t="s">
        <v>648</v>
      </c>
      <c r="C1562" s="242" t="s">
        <v>28</v>
      </c>
      <c r="D1562" s="242"/>
      <c r="E1562" s="453">
        <v>1954860</v>
      </c>
      <c r="F1562" s="451">
        <v>1921054.41</v>
      </c>
      <c r="G1562" s="459">
        <f t="shared" si="24"/>
        <v>98.270689972683471</v>
      </c>
    </row>
    <row r="1563" spans="1:7">
      <c r="A1563" s="241" t="s">
        <v>234</v>
      </c>
      <c r="B1563" s="242" t="s">
        <v>648</v>
      </c>
      <c r="C1563" s="242" t="s">
        <v>28</v>
      </c>
      <c r="D1563" s="242" t="s">
        <v>1135</v>
      </c>
      <c r="E1563" s="453">
        <v>1954860</v>
      </c>
      <c r="F1563" s="451">
        <v>1921054.41</v>
      </c>
      <c r="G1563" s="459">
        <f t="shared" si="24"/>
        <v>98.270689972683471</v>
      </c>
    </row>
    <row r="1564" spans="1:7" ht="51">
      <c r="A1564" s="241" t="s">
        <v>236</v>
      </c>
      <c r="B1564" s="242" t="s">
        <v>648</v>
      </c>
      <c r="C1564" s="242" t="s">
        <v>28</v>
      </c>
      <c r="D1564" s="242" t="s">
        <v>333</v>
      </c>
      <c r="E1564" s="453">
        <v>1954860</v>
      </c>
      <c r="F1564" s="451">
        <v>1921054.41</v>
      </c>
      <c r="G1564" s="459">
        <f t="shared" si="24"/>
        <v>98.270689972683471</v>
      </c>
    </row>
    <row r="1565" spans="1:7" ht="51">
      <c r="A1565" s="241" t="s">
        <v>558</v>
      </c>
      <c r="B1565" s="242" t="s">
        <v>639</v>
      </c>
      <c r="C1565" s="242"/>
      <c r="D1565" s="242"/>
      <c r="E1565" s="453">
        <v>591575</v>
      </c>
      <c r="F1565" s="451">
        <v>575226.74</v>
      </c>
      <c r="G1565" s="459">
        <f t="shared" si="24"/>
        <v>97.236485652706762</v>
      </c>
    </row>
    <row r="1566" spans="1:7" ht="63.75">
      <c r="A1566" s="241" t="s">
        <v>1318</v>
      </c>
      <c r="B1566" s="242" t="s">
        <v>639</v>
      </c>
      <c r="C1566" s="242" t="s">
        <v>273</v>
      </c>
      <c r="D1566" s="242"/>
      <c r="E1566" s="453">
        <v>591575</v>
      </c>
      <c r="F1566" s="451">
        <v>575226.74</v>
      </c>
      <c r="G1566" s="459">
        <f t="shared" si="24"/>
        <v>97.236485652706762</v>
      </c>
    </row>
    <row r="1567" spans="1:7" ht="25.5">
      <c r="A1567" s="241" t="s">
        <v>1203</v>
      </c>
      <c r="B1567" s="242" t="s">
        <v>639</v>
      </c>
      <c r="C1567" s="242" t="s">
        <v>28</v>
      </c>
      <c r="D1567" s="242"/>
      <c r="E1567" s="453">
        <v>591575</v>
      </c>
      <c r="F1567" s="451">
        <v>575226.74</v>
      </c>
      <c r="G1567" s="459">
        <f t="shared" si="24"/>
        <v>97.236485652706762</v>
      </c>
    </row>
    <row r="1568" spans="1:7">
      <c r="A1568" s="241" t="s">
        <v>234</v>
      </c>
      <c r="B1568" s="242" t="s">
        <v>639</v>
      </c>
      <c r="C1568" s="242" t="s">
        <v>28</v>
      </c>
      <c r="D1568" s="242" t="s">
        <v>1135</v>
      </c>
      <c r="E1568" s="453">
        <v>591575</v>
      </c>
      <c r="F1568" s="451">
        <v>575226.74</v>
      </c>
      <c r="G1568" s="459">
        <f t="shared" si="24"/>
        <v>97.236485652706762</v>
      </c>
    </row>
    <row r="1569" spans="1:7" ht="51">
      <c r="A1569" s="241" t="s">
        <v>236</v>
      </c>
      <c r="B1569" s="242" t="s">
        <v>639</v>
      </c>
      <c r="C1569" s="242" t="s">
        <v>28</v>
      </c>
      <c r="D1569" s="242" t="s">
        <v>333</v>
      </c>
      <c r="E1569" s="453">
        <v>591575</v>
      </c>
      <c r="F1569" s="451">
        <v>575226.74</v>
      </c>
      <c r="G1569" s="459">
        <f t="shared" si="24"/>
        <v>97.236485652706762</v>
      </c>
    </row>
    <row r="1570" spans="1:7" ht="63.75">
      <c r="A1570" s="241" t="s">
        <v>561</v>
      </c>
      <c r="B1570" s="242" t="s">
        <v>649</v>
      </c>
      <c r="C1570" s="242"/>
      <c r="D1570" s="242"/>
      <c r="E1570" s="453">
        <v>8242322</v>
      </c>
      <c r="F1570" s="451">
        <v>8228905.1200000001</v>
      </c>
      <c r="G1570" s="459">
        <f t="shared" si="24"/>
        <v>99.837219657276194</v>
      </c>
    </row>
    <row r="1571" spans="1:7" ht="63.75">
      <c r="A1571" s="241" t="s">
        <v>1318</v>
      </c>
      <c r="B1571" s="242" t="s">
        <v>649</v>
      </c>
      <c r="C1571" s="242" t="s">
        <v>273</v>
      </c>
      <c r="D1571" s="242"/>
      <c r="E1571" s="453">
        <v>8242322</v>
      </c>
      <c r="F1571" s="451">
        <v>8228905.1200000001</v>
      </c>
      <c r="G1571" s="459">
        <f t="shared" si="24"/>
        <v>99.837219657276194</v>
      </c>
    </row>
    <row r="1572" spans="1:7" ht="25.5">
      <c r="A1572" s="241" t="s">
        <v>1203</v>
      </c>
      <c r="B1572" s="242" t="s">
        <v>649</v>
      </c>
      <c r="C1572" s="242" t="s">
        <v>28</v>
      </c>
      <c r="D1572" s="242"/>
      <c r="E1572" s="453">
        <v>8242322</v>
      </c>
      <c r="F1572" s="451">
        <v>8228905.1200000001</v>
      </c>
      <c r="G1572" s="459">
        <f t="shared" si="24"/>
        <v>99.837219657276194</v>
      </c>
    </row>
    <row r="1573" spans="1:7">
      <c r="A1573" s="241" t="s">
        <v>234</v>
      </c>
      <c r="B1573" s="242" t="s">
        <v>649</v>
      </c>
      <c r="C1573" s="242" t="s">
        <v>28</v>
      </c>
      <c r="D1573" s="242" t="s">
        <v>1135</v>
      </c>
      <c r="E1573" s="453">
        <v>8242322</v>
      </c>
      <c r="F1573" s="451">
        <v>8228905.1200000001</v>
      </c>
      <c r="G1573" s="459">
        <f t="shared" si="24"/>
        <v>99.837219657276194</v>
      </c>
    </row>
    <row r="1574" spans="1:7" ht="51">
      <c r="A1574" s="241" t="s">
        <v>236</v>
      </c>
      <c r="B1574" s="242" t="s">
        <v>649</v>
      </c>
      <c r="C1574" s="242" t="s">
        <v>28</v>
      </c>
      <c r="D1574" s="242" t="s">
        <v>333</v>
      </c>
      <c r="E1574" s="453">
        <v>8242322</v>
      </c>
      <c r="F1574" s="451">
        <v>8228905.1200000001</v>
      </c>
      <c r="G1574" s="459">
        <f t="shared" si="24"/>
        <v>99.837219657276194</v>
      </c>
    </row>
    <row r="1575" spans="1:7" ht="38.25">
      <c r="A1575" s="241" t="s">
        <v>954</v>
      </c>
      <c r="B1575" s="242" t="s">
        <v>955</v>
      </c>
      <c r="C1575" s="242"/>
      <c r="D1575" s="242"/>
      <c r="E1575" s="453">
        <v>6819256.79</v>
      </c>
      <c r="F1575" s="451">
        <v>6785380.9400000004</v>
      </c>
      <c r="G1575" s="459">
        <f t="shared" si="24"/>
        <v>99.503232521619125</v>
      </c>
    </row>
    <row r="1576" spans="1:7" ht="25.5">
      <c r="A1576" s="241" t="s">
        <v>1319</v>
      </c>
      <c r="B1576" s="242" t="s">
        <v>955</v>
      </c>
      <c r="C1576" s="242" t="s">
        <v>1320</v>
      </c>
      <c r="D1576" s="242"/>
      <c r="E1576" s="453">
        <v>6819256.79</v>
      </c>
      <c r="F1576" s="451">
        <v>6785380.9400000004</v>
      </c>
      <c r="G1576" s="459">
        <f t="shared" si="24"/>
        <v>99.503232521619125</v>
      </c>
    </row>
    <row r="1577" spans="1:7" ht="25.5">
      <c r="A1577" s="241" t="s">
        <v>1196</v>
      </c>
      <c r="B1577" s="242" t="s">
        <v>955</v>
      </c>
      <c r="C1577" s="242" t="s">
        <v>1197</v>
      </c>
      <c r="D1577" s="242"/>
      <c r="E1577" s="453">
        <v>6819256.79</v>
      </c>
      <c r="F1577" s="451">
        <v>6785380.9400000004</v>
      </c>
      <c r="G1577" s="459">
        <f t="shared" si="24"/>
        <v>99.503232521619125</v>
      </c>
    </row>
    <row r="1578" spans="1:7">
      <c r="A1578" s="241" t="s">
        <v>234</v>
      </c>
      <c r="B1578" s="242" t="s">
        <v>955</v>
      </c>
      <c r="C1578" s="242" t="s">
        <v>1197</v>
      </c>
      <c r="D1578" s="242" t="s">
        <v>1135</v>
      </c>
      <c r="E1578" s="453">
        <v>6819256.79</v>
      </c>
      <c r="F1578" s="451">
        <v>6785380.9400000004</v>
      </c>
      <c r="G1578" s="459">
        <f t="shared" si="24"/>
        <v>99.503232521619125</v>
      </c>
    </row>
    <row r="1579" spans="1:7" ht="51">
      <c r="A1579" s="241" t="s">
        <v>236</v>
      </c>
      <c r="B1579" s="242" t="s">
        <v>955</v>
      </c>
      <c r="C1579" s="242" t="s">
        <v>1197</v>
      </c>
      <c r="D1579" s="242" t="s">
        <v>333</v>
      </c>
      <c r="E1579" s="453">
        <v>6819256.79</v>
      </c>
      <c r="F1579" s="451">
        <v>6785380.9399999995</v>
      </c>
      <c r="G1579" s="459">
        <f t="shared" si="24"/>
        <v>99.503232521619111</v>
      </c>
    </row>
    <row r="1580" spans="1:7" ht="51">
      <c r="A1580" s="241" t="s">
        <v>1509</v>
      </c>
      <c r="B1580" s="242" t="s">
        <v>1510</v>
      </c>
      <c r="C1580" s="242"/>
      <c r="D1580" s="242"/>
      <c r="E1580" s="453">
        <v>169686.88</v>
      </c>
      <c r="F1580" s="451">
        <v>169686.85</v>
      </c>
      <c r="G1580" s="459">
        <f t="shared" si="24"/>
        <v>99.999982320377384</v>
      </c>
    </row>
    <row r="1581" spans="1:7" ht="25.5">
      <c r="A1581" s="241" t="s">
        <v>1319</v>
      </c>
      <c r="B1581" s="242" t="s">
        <v>1510</v>
      </c>
      <c r="C1581" s="242" t="s">
        <v>1320</v>
      </c>
      <c r="D1581" s="242"/>
      <c r="E1581" s="453">
        <v>169686.88</v>
      </c>
      <c r="F1581" s="451">
        <v>169686.85</v>
      </c>
      <c r="G1581" s="459">
        <f t="shared" si="24"/>
        <v>99.999982320377384</v>
      </c>
    </row>
    <row r="1582" spans="1:7" ht="25.5">
      <c r="A1582" s="241" t="s">
        <v>1196</v>
      </c>
      <c r="B1582" s="242" t="s">
        <v>1510</v>
      </c>
      <c r="C1582" s="242" t="s">
        <v>1197</v>
      </c>
      <c r="D1582" s="242"/>
      <c r="E1582" s="453">
        <v>169686.88</v>
      </c>
      <c r="F1582" s="451">
        <v>169686.85</v>
      </c>
      <c r="G1582" s="459">
        <f t="shared" si="24"/>
        <v>99.999982320377384</v>
      </c>
    </row>
    <row r="1583" spans="1:7">
      <c r="A1583" s="241" t="s">
        <v>234</v>
      </c>
      <c r="B1583" s="242" t="s">
        <v>1510</v>
      </c>
      <c r="C1583" s="242" t="s">
        <v>1197</v>
      </c>
      <c r="D1583" s="242" t="s">
        <v>1135</v>
      </c>
      <c r="E1583" s="453">
        <v>169686.88</v>
      </c>
      <c r="F1583" s="451">
        <v>169686.85</v>
      </c>
      <c r="G1583" s="459">
        <f t="shared" si="24"/>
        <v>99.999982320377384</v>
      </c>
    </row>
    <row r="1584" spans="1:7" ht="51">
      <c r="A1584" s="241" t="s">
        <v>236</v>
      </c>
      <c r="B1584" s="242" t="s">
        <v>1510</v>
      </c>
      <c r="C1584" s="242" t="s">
        <v>1197</v>
      </c>
      <c r="D1584" s="242" t="s">
        <v>333</v>
      </c>
      <c r="E1584" s="453">
        <v>169686.88</v>
      </c>
      <c r="F1584" s="451">
        <v>169686.85</v>
      </c>
      <c r="G1584" s="459">
        <f t="shared" si="24"/>
        <v>99.999982320377384</v>
      </c>
    </row>
    <row r="1585" spans="1:7" ht="38.25">
      <c r="A1585" s="241" t="s">
        <v>2035</v>
      </c>
      <c r="B1585" s="242" t="s">
        <v>2036</v>
      </c>
      <c r="C1585" s="242"/>
      <c r="D1585" s="242"/>
      <c r="E1585" s="453">
        <v>1289312.8</v>
      </c>
      <c r="F1585" s="451">
        <v>1284902.52</v>
      </c>
      <c r="G1585" s="459">
        <f t="shared" si="24"/>
        <v>99.657935607247509</v>
      </c>
    </row>
    <row r="1586" spans="1:7" ht="25.5">
      <c r="A1586" s="241" t="s">
        <v>1319</v>
      </c>
      <c r="B1586" s="242" t="s">
        <v>2036</v>
      </c>
      <c r="C1586" s="242" t="s">
        <v>1320</v>
      </c>
      <c r="D1586" s="242"/>
      <c r="E1586" s="453">
        <v>1289312.8</v>
      </c>
      <c r="F1586" s="451">
        <v>1284902.52</v>
      </c>
      <c r="G1586" s="459">
        <f t="shared" si="24"/>
        <v>99.657935607247509</v>
      </c>
    </row>
    <row r="1587" spans="1:7" ht="25.5">
      <c r="A1587" s="241" t="s">
        <v>1196</v>
      </c>
      <c r="B1587" s="242" t="s">
        <v>2036</v>
      </c>
      <c r="C1587" s="242" t="s">
        <v>1197</v>
      </c>
      <c r="D1587" s="242"/>
      <c r="E1587" s="453">
        <v>1289312.8</v>
      </c>
      <c r="F1587" s="451">
        <v>1284902.52</v>
      </c>
      <c r="G1587" s="459">
        <f t="shared" si="24"/>
        <v>99.657935607247509</v>
      </c>
    </row>
    <row r="1588" spans="1:7">
      <c r="A1588" s="241" t="s">
        <v>234</v>
      </c>
      <c r="B1588" s="242" t="s">
        <v>2036</v>
      </c>
      <c r="C1588" s="242" t="s">
        <v>1197</v>
      </c>
      <c r="D1588" s="242" t="s">
        <v>1135</v>
      </c>
      <c r="E1588" s="453">
        <v>1289312.8</v>
      </c>
      <c r="F1588" s="451">
        <v>1284902.52</v>
      </c>
      <c r="G1588" s="459">
        <f t="shared" si="24"/>
        <v>99.657935607247509</v>
      </c>
    </row>
    <row r="1589" spans="1:7" ht="51">
      <c r="A1589" s="241" t="s">
        <v>236</v>
      </c>
      <c r="B1589" s="242" t="s">
        <v>2036</v>
      </c>
      <c r="C1589" s="242" t="s">
        <v>1197</v>
      </c>
      <c r="D1589" s="242" t="s">
        <v>333</v>
      </c>
      <c r="E1589" s="453">
        <v>1184286</v>
      </c>
      <c r="F1589" s="451">
        <v>1183902.52</v>
      </c>
      <c r="G1589" s="459">
        <f t="shared" si="24"/>
        <v>99.967619308173866</v>
      </c>
    </row>
    <row r="1590" spans="1:7" ht="38.25">
      <c r="A1590" s="241" t="s">
        <v>216</v>
      </c>
      <c r="B1590" s="242" t="s">
        <v>2036</v>
      </c>
      <c r="C1590" s="242" t="s">
        <v>1197</v>
      </c>
      <c r="D1590" s="242" t="s">
        <v>331</v>
      </c>
      <c r="E1590" s="453">
        <v>105026.8</v>
      </c>
      <c r="F1590" s="451">
        <v>101000</v>
      </c>
      <c r="G1590" s="459">
        <f t="shared" si="24"/>
        <v>96.165930981425703</v>
      </c>
    </row>
    <row r="1591" spans="1:7" ht="25.5">
      <c r="A1591" s="241" t="s">
        <v>1073</v>
      </c>
      <c r="B1591" s="242" t="s">
        <v>1074</v>
      </c>
      <c r="C1591" s="242"/>
      <c r="D1591" s="242"/>
      <c r="E1591" s="453">
        <v>968003</v>
      </c>
      <c r="F1591" s="451">
        <v>829872.69</v>
      </c>
      <c r="G1591" s="459">
        <f t="shared" si="24"/>
        <v>85.730384100049278</v>
      </c>
    </row>
    <row r="1592" spans="1:7" ht="25.5">
      <c r="A1592" s="241" t="s">
        <v>1319</v>
      </c>
      <c r="B1592" s="242" t="s">
        <v>1074</v>
      </c>
      <c r="C1592" s="242" t="s">
        <v>1320</v>
      </c>
      <c r="D1592" s="242"/>
      <c r="E1592" s="453">
        <v>968003</v>
      </c>
      <c r="F1592" s="451">
        <v>829872.69</v>
      </c>
      <c r="G1592" s="459">
        <f t="shared" si="24"/>
        <v>85.730384100049278</v>
      </c>
    </row>
    <row r="1593" spans="1:7" ht="25.5">
      <c r="A1593" s="241" t="s">
        <v>1196</v>
      </c>
      <c r="B1593" s="242" t="s">
        <v>1074</v>
      </c>
      <c r="C1593" s="242" t="s">
        <v>1197</v>
      </c>
      <c r="D1593" s="242"/>
      <c r="E1593" s="453">
        <v>968003</v>
      </c>
      <c r="F1593" s="451">
        <v>829872.69</v>
      </c>
      <c r="G1593" s="459">
        <f t="shared" si="24"/>
        <v>85.730384100049278</v>
      </c>
    </row>
    <row r="1594" spans="1:7">
      <c r="A1594" s="241" t="s">
        <v>234</v>
      </c>
      <c r="B1594" s="242" t="s">
        <v>1074</v>
      </c>
      <c r="C1594" s="242" t="s">
        <v>1197</v>
      </c>
      <c r="D1594" s="242" t="s">
        <v>1135</v>
      </c>
      <c r="E1594" s="453">
        <v>968003</v>
      </c>
      <c r="F1594" s="451">
        <v>829872.69</v>
      </c>
      <c r="G1594" s="459">
        <f t="shared" si="24"/>
        <v>85.730384100049278</v>
      </c>
    </row>
    <row r="1595" spans="1:7" ht="51">
      <c r="A1595" s="241" t="s">
        <v>236</v>
      </c>
      <c r="B1595" s="242" t="s">
        <v>1074</v>
      </c>
      <c r="C1595" s="242" t="s">
        <v>1197</v>
      </c>
      <c r="D1595" s="242" t="s">
        <v>333</v>
      </c>
      <c r="E1595" s="453">
        <v>968003</v>
      </c>
      <c r="F1595" s="451">
        <v>829872.69</v>
      </c>
      <c r="G1595" s="459">
        <f t="shared" si="24"/>
        <v>85.730384100049278</v>
      </c>
    </row>
    <row r="1596" spans="1:7" ht="63.75">
      <c r="A1596" s="241" t="s">
        <v>542</v>
      </c>
      <c r="B1596" s="242" t="s">
        <v>653</v>
      </c>
      <c r="C1596" s="242"/>
      <c r="D1596" s="242"/>
      <c r="E1596" s="453">
        <v>122500</v>
      </c>
      <c r="F1596" s="451">
        <v>122500</v>
      </c>
      <c r="G1596" s="459">
        <f t="shared" si="24"/>
        <v>100</v>
      </c>
    </row>
    <row r="1597" spans="1:7" ht="63.75">
      <c r="A1597" s="241" t="s">
        <v>1318</v>
      </c>
      <c r="B1597" s="242" t="s">
        <v>653</v>
      </c>
      <c r="C1597" s="242" t="s">
        <v>273</v>
      </c>
      <c r="D1597" s="242"/>
      <c r="E1597" s="453">
        <v>119200</v>
      </c>
      <c r="F1597" s="451">
        <v>119200</v>
      </c>
      <c r="G1597" s="459">
        <f t="shared" si="24"/>
        <v>100</v>
      </c>
    </row>
    <row r="1598" spans="1:7" ht="25.5">
      <c r="A1598" s="241" t="s">
        <v>1203</v>
      </c>
      <c r="B1598" s="242" t="s">
        <v>653</v>
      </c>
      <c r="C1598" s="242" t="s">
        <v>28</v>
      </c>
      <c r="D1598" s="242"/>
      <c r="E1598" s="453">
        <v>119200</v>
      </c>
      <c r="F1598" s="451">
        <v>119200</v>
      </c>
      <c r="G1598" s="459">
        <f t="shared" si="24"/>
        <v>100</v>
      </c>
    </row>
    <row r="1599" spans="1:7">
      <c r="A1599" s="241" t="s">
        <v>234</v>
      </c>
      <c r="B1599" s="242" t="s">
        <v>653</v>
      </c>
      <c r="C1599" s="242" t="s">
        <v>28</v>
      </c>
      <c r="D1599" s="242" t="s">
        <v>1135</v>
      </c>
      <c r="E1599" s="453">
        <v>119200</v>
      </c>
      <c r="F1599" s="451">
        <v>119200</v>
      </c>
      <c r="G1599" s="459">
        <f t="shared" si="24"/>
        <v>100</v>
      </c>
    </row>
    <row r="1600" spans="1:7">
      <c r="A1600" s="241" t="s">
        <v>217</v>
      </c>
      <c r="B1600" s="242" t="s">
        <v>653</v>
      </c>
      <c r="C1600" s="242" t="s">
        <v>28</v>
      </c>
      <c r="D1600" s="242" t="s">
        <v>337</v>
      </c>
      <c r="E1600" s="453">
        <v>119200</v>
      </c>
      <c r="F1600" s="451">
        <v>119200</v>
      </c>
      <c r="G1600" s="459">
        <f t="shared" si="24"/>
        <v>100</v>
      </c>
    </row>
    <row r="1601" spans="1:7" ht="25.5">
      <c r="A1601" s="241" t="s">
        <v>1319</v>
      </c>
      <c r="B1601" s="242" t="s">
        <v>653</v>
      </c>
      <c r="C1601" s="242" t="s">
        <v>1320</v>
      </c>
      <c r="D1601" s="242"/>
      <c r="E1601" s="453">
        <v>3300</v>
      </c>
      <c r="F1601" s="451">
        <v>3300</v>
      </c>
      <c r="G1601" s="459">
        <f t="shared" si="24"/>
        <v>100</v>
      </c>
    </row>
    <row r="1602" spans="1:7" ht="25.5">
      <c r="A1602" s="241" t="s">
        <v>1196</v>
      </c>
      <c r="B1602" s="242" t="s">
        <v>653</v>
      </c>
      <c r="C1602" s="242" t="s">
        <v>1197</v>
      </c>
      <c r="D1602" s="242"/>
      <c r="E1602" s="453">
        <v>3300</v>
      </c>
      <c r="F1602" s="451">
        <v>3300</v>
      </c>
      <c r="G1602" s="459">
        <f t="shared" si="24"/>
        <v>100</v>
      </c>
    </row>
    <row r="1603" spans="1:7">
      <c r="A1603" s="241" t="s">
        <v>234</v>
      </c>
      <c r="B1603" s="242" t="s">
        <v>653</v>
      </c>
      <c r="C1603" s="242" t="s">
        <v>1197</v>
      </c>
      <c r="D1603" s="242" t="s">
        <v>1135</v>
      </c>
      <c r="E1603" s="453">
        <v>3300</v>
      </c>
      <c r="F1603" s="451">
        <v>3300</v>
      </c>
      <c r="G1603" s="459">
        <f t="shared" si="24"/>
        <v>100</v>
      </c>
    </row>
    <row r="1604" spans="1:7">
      <c r="A1604" s="241" t="s">
        <v>217</v>
      </c>
      <c r="B1604" s="242" t="s">
        <v>653</v>
      </c>
      <c r="C1604" s="242" t="s">
        <v>1197</v>
      </c>
      <c r="D1604" s="242" t="s">
        <v>337</v>
      </c>
      <c r="E1604" s="453">
        <v>3300</v>
      </c>
      <c r="F1604" s="451">
        <v>3300</v>
      </c>
      <c r="G1604" s="459">
        <f t="shared" si="24"/>
        <v>100</v>
      </c>
    </row>
    <row r="1605" spans="1:7" ht="63.75">
      <c r="A1605" s="241" t="s">
        <v>1663</v>
      </c>
      <c r="B1605" s="242" t="s">
        <v>1664</v>
      </c>
      <c r="C1605" s="242"/>
      <c r="D1605" s="242"/>
      <c r="E1605" s="453">
        <v>2133700</v>
      </c>
      <c r="F1605" s="451">
        <v>1248775.22</v>
      </c>
      <c r="G1605" s="459">
        <f t="shared" si="24"/>
        <v>58.526279233256787</v>
      </c>
    </row>
    <row r="1606" spans="1:7" ht="63.75">
      <c r="A1606" s="241" t="s">
        <v>1318</v>
      </c>
      <c r="B1606" s="242" t="s">
        <v>1664</v>
      </c>
      <c r="C1606" s="242" t="s">
        <v>273</v>
      </c>
      <c r="D1606" s="242"/>
      <c r="E1606" s="453">
        <v>2093700</v>
      </c>
      <c r="F1606" s="451">
        <v>1223502.47</v>
      </c>
      <c r="G1606" s="459">
        <f t="shared" si="24"/>
        <v>58.437334384104688</v>
      </c>
    </row>
    <row r="1607" spans="1:7" ht="25.5">
      <c r="A1607" s="241" t="s">
        <v>1203</v>
      </c>
      <c r="B1607" s="242" t="s">
        <v>1664</v>
      </c>
      <c r="C1607" s="242" t="s">
        <v>28</v>
      </c>
      <c r="D1607" s="242"/>
      <c r="E1607" s="453">
        <v>2093700</v>
      </c>
      <c r="F1607" s="451">
        <v>1223502.47</v>
      </c>
      <c r="G1607" s="459">
        <f t="shared" ref="G1607:G1670" si="25">F1607/E1607*100</f>
        <v>58.437334384104688</v>
      </c>
    </row>
    <row r="1608" spans="1:7">
      <c r="A1608" s="241" t="s">
        <v>183</v>
      </c>
      <c r="B1608" s="242" t="s">
        <v>1664</v>
      </c>
      <c r="C1608" s="242" t="s">
        <v>28</v>
      </c>
      <c r="D1608" s="242" t="s">
        <v>1140</v>
      </c>
      <c r="E1608" s="453">
        <v>2093700</v>
      </c>
      <c r="F1608" s="451">
        <v>1223502.47</v>
      </c>
      <c r="G1608" s="459">
        <f t="shared" si="25"/>
        <v>58.437334384104688</v>
      </c>
    </row>
    <row r="1609" spans="1:7">
      <c r="A1609" s="241" t="s">
        <v>1661</v>
      </c>
      <c r="B1609" s="242" t="s">
        <v>1664</v>
      </c>
      <c r="C1609" s="242" t="s">
        <v>28</v>
      </c>
      <c r="D1609" s="242" t="s">
        <v>1662</v>
      </c>
      <c r="E1609" s="453">
        <v>2093700</v>
      </c>
      <c r="F1609" s="451">
        <v>1223502.47</v>
      </c>
      <c r="G1609" s="459">
        <f t="shared" si="25"/>
        <v>58.437334384104688</v>
      </c>
    </row>
    <row r="1610" spans="1:7" ht="25.5">
      <c r="A1610" s="241" t="s">
        <v>1319</v>
      </c>
      <c r="B1610" s="242" t="s">
        <v>1664</v>
      </c>
      <c r="C1610" s="242" t="s">
        <v>1320</v>
      </c>
      <c r="D1610" s="242"/>
      <c r="E1610" s="453">
        <v>40000</v>
      </c>
      <c r="F1610" s="451">
        <v>25272.75</v>
      </c>
      <c r="G1610" s="459">
        <f t="shared" si="25"/>
        <v>63.181874999999998</v>
      </c>
    </row>
    <row r="1611" spans="1:7" ht="25.5">
      <c r="A1611" s="241" t="s">
        <v>1196</v>
      </c>
      <c r="B1611" s="242" t="s">
        <v>1664</v>
      </c>
      <c r="C1611" s="242" t="s">
        <v>1197</v>
      </c>
      <c r="D1611" s="242"/>
      <c r="E1611" s="453">
        <v>40000</v>
      </c>
      <c r="F1611" s="451">
        <v>25272.75</v>
      </c>
      <c r="G1611" s="459">
        <f t="shared" si="25"/>
        <v>63.181874999999998</v>
      </c>
    </row>
    <row r="1612" spans="1:7">
      <c r="A1612" s="241" t="s">
        <v>183</v>
      </c>
      <c r="B1612" s="242" t="s">
        <v>1664</v>
      </c>
      <c r="C1612" s="242" t="s">
        <v>1197</v>
      </c>
      <c r="D1612" s="242" t="s">
        <v>1140</v>
      </c>
      <c r="E1612" s="453">
        <v>40000</v>
      </c>
      <c r="F1612" s="451">
        <v>25272.75</v>
      </c>
      <c r="G1612" s="459">
        <f t="shared" si="25"/>
        <v>63.181874999999998</v>
      </c>
    </row>
    <row r="1613" spans="1:7">
      <c r="A1613" s="241" t="s">
        <v>1661</v>
      </c>
      <c r="B1613" s="242" t="s">
        <v>1664</v>
      </c>
      <c r="C1613" s="242" t="s">
        <v>1197</v>
      </c>
      <c r="D1613" s="242" t="s">
        <v>1662</v>
      </c>
      <c r="E1613" s="453">
        <v>40000</v>
      </c>
      <c r="F1613" s="451">
        <v>25272.75</v>
      </c>
      <c r="G1613" s="459">
        <f t="shared" si="25"/>
        <v>63.181874999999998</v>
      </c>
    </row>
    <row r="1614" spans="1:7" ht="76.5">
      <c r="A1614" s="241" t="s">
        <v>335</v>
      </c>
      <c r="B1614" s="242" t="s">
        <v>646</v>
      </c>
      <c r="C1614" s="242"/>
      <c r="D1614" s="242"/>
      <c r="E1614" s="453">
        <v>942450</v>
      </c>
      <c r="F1614" s="451">
        <v>937450</v>
      </c>
      <c r="G1614" s="459">
        <f t="shared" si="25"/>
        <v>99.469467876279907</v>
      </c>
    </row>
    <row r="1615" spans="1:7" ht="63.75">
      <c r="A1615" s="241" t="s">
        <v>1318</v>
      </c>
      <c r="B1615" s="242" t="s">
        <v>646</v>
      </c>
      <c r="C1615" s="242" t="s">
        <v>273</v>
      </c>
      <c r="D1615" s="242"/>
      <c r="E1615" s="453">
        <v>910650</v>
      </c>
      <c r="F1615" s="451">
        <v>910650</v>
      </c>
      <c r="G1615" s="459">
        <f t="shared" si="25"/>
        <v>100</v>
      </c>
    </row>
    <row r="1616" spans="1:7" ht="25.5">
      <c r="A1616" s="241" t="s">
        <v>1203</v>
      </c>
      <c r="B1616" s="242" t="s">
        <v>646</v>
      </c>
      <c r="C1616" s="242" t="s">
        <v>28</v>
      </c>
      <c r="D1616" s="242"/>
      <c r="E1616" s="453">
        <v>910650</v>
      </c>
      <c r="F1616" s="451">
        <v>910650</v>
      </c>
      <c r="G1616" s="459">
        <f t="shared" si="25"/>
        <v>100</v>
      </c>
    </row>
    <row r="1617" spans="1:7">
      <c r="A1617" s="241" t="s">
        <v>234</v>
      </c>
      <c r="B1617" s="242" t="s">
        <v>646</v>
      </c>
      <c r="C1617" s="242" t="s">
        <v>28</v>
      </c>
      <c r="D1617" s="242" t="s">
        <v>1135</v>
      </c>
      <c r="E1617" s="453">
        <v>910650</v>
      </c>
      <c r="F1617" s="451">
        <v>910650</v>
      </c>
      <c r="G1617" s="459">
        <f t="shared" si="25"/>
        <v>100</v>
      </c>
    </row>
    <row r="1618" spans="1:7" ht="51">
      <c r="A1618" s="241" t="s">
        <v>236</v>
      </c>
      <c r="B1618" s="242" t="s">
        <v>646</v>
      </c>
      <c r="C1618" s="242" t="s">
        <v>28</v>
      </c>
      <c r="D1618" s="242" t="s">
        <v>333</v>
      </c>
      <c r="E1618" s="453">
        <v>910650</v>
      </c>
      <c r="F1618" s="451">
        <v>910650</v>
      </c>
      <c r="G1618" s="459">
        <f t="shared" si="25"/>
        <v>100</v>
      </c>
    </row>
    <row r="1619" spans="1:7" ht="25.5">
      <c r="A1619" s="241" t="s">
        <v>1319</v>
      </c>
      <c r="B1619" s="242" t="s">
        <v>646</v>
      </c>
      <c r="C1619" s="242" t="s">
        <v>1320</v>
      </c>
      <c r="D1619" s="242"/>
      <c r="E1619" s="453">
        <v>31800</v>
      </c>
      <c r="F1619" s="451">
        <v>26800</v>
      </c>
      <c r="G1619" s="459">
        <f t="shared" si="25"/>
        <v>84.276729559748432</v>
      </c>
    </row>
    <row r="1620" spans="1:7" ht="25.5">
      <c r="A1620" s="241" t="s">
        <v>1196</v>
      </c>
      <c r="B1620" s="242" t="s">
        <v>646</v>
      </c>
      <c r="C1620" s="242" t="s">
        <v>1197</v>
      </c>
      <c r="D1620" s="242"/>
      <c r="E1620" s="453">
        <v>31800</v>
      </c>
      <c r="F1620" s="451">
        <v>26800</v>
      </c>
      <c r="G1620" s="459">
        <f t="shared" si="25"/>
        <v>84.276729559748432</v>
      </c>
    </row>
    <row r="1621" spans="1:7">
      <c r="A1621" s="241" t="s">
        <v>234</v>
      </c>
      <c r="B1621" s="242" t="s">
        <v>646</v>
      </c>
      <c r="C1621" s="242" t="s">
        <v>1197</v>
      </c>
      <c r="D1621" s="242" t="s">
        <v>1135</v>
      </c>
      <c r="E1621" s="453">
        <v>31800</v>
      </c>
      <c r="F1621" s="451">
        <v>26800</v>
      </c>
      <c r="G1621" s="459">
        <f t="shared" si="25"/>
        <v>84.276729559748432</v>
      </c>
    </row>
    <row r="1622" spans="1:7" ht="51">
      <c r="A1622" s="241" t="s">
        <v>236</v>
      </c>
      <c r="B1622" s="242" t="s">
        <v>646</v>
      </c>
      <c r="C1622" s="242" t="s">
        <v>1197</v>
      </c>
      <c r="D1622" s="242" t="s">
        <v>333</v>
      </c>
      <c r="E1622" s="453">
        <v>31800</v>
      </c>
      <c r="F1622" s="451">
        <v>26800</v>
      </c>
      <c r="G1622" s="459">
        <f t="shared" si="25"/>
        <v>84.276729559748432</v>
      </c>
    </row>
    <row r="1623" spans="1:7" ht="38.25">
      <c r="A1623" s="241" t="s">
        <v>338</v>
      </c>
      <c r="B1623" s="242" t="s">
        <v>654</v>
      </c>
      <c r="C1623" s="242"/>
      <c r="D1623" s="242"/>
      <c r="E1623" s="453">
        <v>148035</v>
      </c>
      <c r="F1623" s="451">
        <v>148035</v>
      </c>
      <c r="G1623" s="459">
        <f t="shared" si="25"/>
        <v>100</v>
      </c>
    </row>
    <row r="1624" spans="1:7" ht="63.75">
      <c r="A1624" s="241" t="s">
        <v>1318</v>
      </c>
      <c r="B1624" s="242" t="s">
        <v>654</v>
      </c>
      <c r="C1624" s="242" t="s">
        <v>273</v>
      </c>
      <c r="D1624" s="242"/>
      <c r="E1624" s="453">
        <v>125682</v>
      </c>
      <c r="F1624" s="451">
        <v>125682</v>
      </c>
      <c r="G1624" s="459">
        <f t="shared" si="25"/>
        <v>100</v>
      </c>
    </row>
    <row r="1625" spans="1:7" ht="25.5">
      <c r="A1625" s="241" t="s">
        <v>1203</v>
      </c>
      <c r="B1625" s="242" t="s">
        <v>654</v>
      </c>
      <c r="C1625" s="242" t="s">
        <v>28</v>
      </c>
      <c r="D1625" s="242"/>
      <c r="E1625" s="453">
        <v>125682</v>
      </c>
      <c r="F1625" s="451">
        <v>125682</v>
      </c>
      <c r="G1625" s="459">
        <f t="shared" si="25"/>
        <v>100</v>
      </c>
    </row>
    <row r="1626" spans="1:7">
      <c r="A1626" s="241" t="s">
        <v>234</v>
      </c>
      <c r="B1626" s="242" t="s">
        <v>654</v>
      </c>
      <c r="C1626" s="242" t="s">
        <v>28</v>
      </c>
      <c r="D1626" s="242" t="s">
        <v>1135</v>
      </c>
      <c r="E1626" s="453">
        <v>125682</v>
      </c>
      <c r="F1626" s="451">
        <v>125682</v>
      </c>
      <c r="G1626" s="459">
        <f t="shared" si="25"/>
        <v>100</v>
      </c>
    </row>
    <row r="1627" spans="1:7">
      <c r="A1627" s="241" t="s">
        <v>217</v>
      </c>
      <c r="B1627" s="242" t="s">
        <v>654</v>
      </c>
      <c r="C1627" s="242" t="s">
        <v>28</v>
      </c>
      <c r="D1627" s="242" t="s">
        <v>337</v>
      </c>
      <c r="E1627" s="453">
        <v>125682</v>
      </c>
      <c r="F1627" s="451">
        <v>125682</v>
      </c>
      <c r="G1627" s="459">
        <f t="shared" si="25"/>
        <v>100</v>
      </c>
    </row>
    <row r="1628" spans="1:7" ht="25.5">
      <c r="A1628" s="241" t="s">
        <v>1319</v>
      </c>
      <c r="B1628" s="242" t="s">
        <v>654</v>
      </c>
      <c r="C1628" s="242" t="s">
        <v>1320</v>
      </c>
      <c r="D1628" s="242"/>
      <c r="E1628" s="453">
        <v>22353</v>
      </c>
      <c r="F1628" s="451">
        <v>22353</v>
      </c>
      <c r="G1628" s="459">
        <f t="shared" si="25"/>
        <v>100</v>
      </c>
    </row>
    <row r="1629" spans="1:7" ht="25.5">
      <c r="A1629" s="241" t="s">
        <v>1196</v>
      </c>
      <c r="B1629" s="242" t="s">
        <v>654</v>
      </c>
      <c r="C1629" s="242" t="s">
        <v>1197</v>
      </c>
      <c r="D1629" s="242"/>
      <c r="E1629" s="453">
        <v>22353</v>
      </c>
      <c r="F1629" s="451">
        <v>22353</v>
      </c>
      <c r="G1629" s="459">
        <f t="shared" si="25"/>
        <v>100</v>
      </c>
    </row>
    <row r="1630" spans="1:7">
      <c r="A1630" s="241" t="s">
        <v>234</v>
      </c>
      <c r="B1630" s="242" t="s">
        <v>654</v>
      </c>
      <c r="C1630" s="242" t="s">
        <v>1197</v>
      </c>
      <c r="D1630" s="242" t="s">
        <v>1135</v>
      </c>
      <c r="E1630" s="453">
        <v>22353</v>
      </c>
      <c r="F1630" s="451">
        <v>22353</v>
      </c>
      <c r="G1630" s="459">
        <f t="shared" si="25"/>
        <v>100</v>
      </c>
    </row>
    <row r="1631" spans="1:7">
      <c r="A1631" s="241" t="s">
        <v>217</v>
      </c>
      <c r="B1631" s="242" t="s">
        <v>654</v>
      </c>
      <c r="C1631" s="242" t="s">
        <v>1197</v>
      </c>
      <c r="D1631" s="242" t="s">
        <v>337</v>
      </c>
      <c r="E1631" s="453">
        <v>22353</v>
      </c>
      <c r="F1631" s="451">
        <v>22353</v>
      </c>
      <c r="G1631" s="459">
        <f t="shared" si="25"/>
        <v>100</v>
      </c>
    </row>
    <row r="1632" spans="1:7" ht="63.75">
      <c r="A1632" s="241" t="s">
        <v>336</v>
      </c>
      <c r="B1632" s="242" t="s">
        <v>647</v>
      </c>
      <c r="C1632" s="242"/>
      <c r="D1632" s="242"/>
      <c r="E1632" s="453">
        <v>2609000</v>
      </c>
      <c r="F1632" s="451">
        <v>2581277.11</v>
      </c>
      <c r="G1632" s="459">
        <f t="shared" si="25"/>
        <v>98.937413185128392</v>
      </c>
    </row>
    <row r="1633" spans="1:7" ht="63.75">
      <c r="A1633" s="241" t="s">
        <v>1318</v>
      </c>
      <c r="B1633" s="242" t="s">
        <v>647</v>
      </c>
      <c r="C1633" s="242" t="s">
        <v>273</v>
      </c>
      <c r="D1633" s="242"/>
      <c r="E1633" s="453">
        <v>2110387.25</v>
      </c>
      <c r="F1633" s="451">
        <v>2082664.36</v>
      </c>
      <c r="G1633" s="459">
        <f t="shared" si="25"/>
        <v>98.686360050744241</v>
      </c>
    </row>
    <row r="1634" spans="1:7" ht="25.5">
      <c r="A1634" s="241" t="s">
        <v>1203</v>
      </c>
      <c r="B1634" s="242" t="s">
        <v>647</v>
      </c>
      <c r="C1634" s="242" t="s">
        <v>28</v>
      </c>
      <c r="D1634" s="242"/>
      <c r="E1634" s="453">
        <v>2110387.25</v>
      </c>
      <c r="F1634" s="451">
        <v>2082664.36</v>
      </c>
      <c r="G1634" s="459">
        <f t="shared" si="25"/>
        <v>98.686360050744241</v>
      </c>
    </row>
    <row r="1635" spans="1:7">
      <c r="A1635" s="241" t="s">
        <v>234</v>
      </c>
      <c r="B1635" s="242" t="s">
        <v>647</v>
      </c>
      <c r="C1635" s="242" t="s">
        <v>28</v>
      </c>
      <c r="D1635" s="242" t="s">
        <v>1135</v>
      </c>
      <c r="E1635" s="453">
        <v>2110387.25</v>
      </c>
      <c r="F1635" s="451">
        <v>2082664.36</v>
      </c>
      <c r="G1635" s="459">
        <f t="shared" si="25"/>
        <v>98.686360050744241</v>
      </c>
    </row>
    <row r="1636" spans="1:7" ht="51">
      <c r="A1636" s="241" t="s">
        <v>236</v>
      </c>
      <c r="B1636" s="242" t="s">
        <v>647</v>
      </c>
      <c r="C1636" s="242" t="s">
        <v>28</v>
      </c>
      <c r="D1636" s="242" t="s">
        <v>333</v>
      </c>
      <c r="E1636" s="453">
        <v>2110387.25</v>
      </c>
      <c r="F1636" s="451">
        <v>2082664.36</v>
      </c>
      <c r="G1636" s="459">
        <f t="shared" si="25"/>
        <v>98.686360050744241</v>
      </c>
    </row>
    <row r="1637" spans="1:7" ht="25.5">
      <c r="A1637" s="241" t="s">
        <v>1319</v>
      </c>
      <c r="B1637" s="242" t="s">
        <v>647</v>
      </c>
      <c r="C1637" s="242" t="s">
        <v>1320</v>
      </c>
      <c r="D1637" s="242"/>
      <c r="E1637" s="453">
        <v>498612.75</v>
      </c>
      <c r="F1637" s="451">
        <v>498612.75</v>
      </c>
      <c r="G1637" s="459">
        <f t="shared" si="25"/>
        <v>100</v>
      </c>
    </row>
    <row r="1638" spans="1:7" ht="25.5">
      <c r="A1638" s="241" t="s">
        <v>1196</v>
      </c>
      <c r="B1638" s="242" t="s">
        <v>647</v>
      </c>
      <c r="C1638" s="242" t="s">
        <v>1197</v>
      </c>
      <c r="D1638" s="242"/>
      <c r="E1638" s="453">
        <v>498612.75</v>
      </c>
      <c r="F1638" s="451">
        <v>498612.75</v>
      </c>
      <c r="G1638" s="459">
        <f t="shared" si="25"/>
        <v>100</v>
      </c>
    </row>
    <row r="1639" spans="1:7">
      <c r="A1639" s="241" t="s">
        <v>234</v>
      </c>
      <c r="B1639" s="242" t="s">
        <v>647</v>
      </c>
      <c r="C1639" s="242" t="s">
        <v>1197</v>
      </c>
      <c r="D1639" s="242" t="s">
        <v>1135</v>
      </c>
      <c r="E1639" s="453">
        <v>498612.75</v>
      </c>
      <c r="F1639" s="451">
        <v>498612.75</v>
      </c>
      <c r="G1639" s="459">
        <f t="shared" si="25"/>
        <v>100</v>
      </c>
    </row>
    <row r="1640" spans="1:7" ht="51">
      <c r="A1640" s="241" t="s">
        <v>236</v>
      </c>
      <c r="B1640" s="242" t="s">
        <v>647</v>
      </c>
      <c r="C1640" s="242" t="s">
        <v>1197</v>
      </c>
      <c r="D1640" s="242" t="s">
        <v>333</v>
      </c>
      <c r="E1640" s="453">
        <v>498612.75</v>
      </c>
      <c r="F1640" s="451">
        <v>498612.75</v>
      </c>
      <c r="G1640" s="459">
        <f t="shared" si="25"/>
        <v>100</v>
      </c>
    </row>
    <row r="1641" spans="1:7" ht="127.5">
      <c r="A1641" s="241" t="s">
        <v>1838</v>
      </c>
      <c r="B1641" s="242" t="s">
        <v>1839</v>
      </c>
      <c r="C1641" s="242"/>
      <c r="D1641" s="242"/>
      <c r="E1641" s="453">
        <v>120700</v>
      </c>
      <c r="F1641" s="451">
        <v>120700</v>
      </c>
      <c r="G1641" s="459">
        <f t="shared" si="25"/>
        <v>100</v>
      </c>
    </row>
    <row r="1642" spans="1:7" ht="63.75">
      <c r="A1642" s="241" t="s">
        <v>1318</v>
      </c>
      <c r="B1642" s="242" t="s">
        <v>1839</v>
      </c>
      <c r="C1642" s="242" t="s">
        <v>273</v>
      </c>
      <c r="D1642" s="242"/>
      <c r="E1642" s="453">
        <v>117800</v>
      </c>
      <c r="F1642" s="451">
        <v>117800</v>
      </c>
      <c r="G1642" s="459">
        <f t="shared" si="25"/>
        <v>100</v>
      </c>
    </row>
    <row r="1643" spans="1:7" ht="25.5">
      <c r="A1643" s="241" t="s">
        <v>1203</v>
      </c>
      <c r="B1643" s="242" t="s">
        <v>1839</v>
      </c>
      <c r="C1643" s="242" t="s">
        <v>28</v>
      </c>
      <c r="D1643" s="242"/>
      <c r="E1643" s="453">
        <v>117800</v>
      </c>
      <c r="F1643" s="451">
        <v>117800</v>
      </c>
      <c r="G1643" s="459">
        <f t="shared" si="25"/>
        <v>100</v>
      </c>
    </row>
    <row r="1644" spans="1:7">
      <c r="A1644" s="241" t="s">
        <v>234</v>
      </c>
      <c r="B1644" s="242" t="s">
        <v>1839</v>
      </c>
      <c r="C1644" s="242" t="s">
        <v>28</v>
      </c>
      <c r="D1644" s="242" t="s">
        <v>1135</v>
      </c>
      <c r="E1644" s="453">
        <v>117800</v>
      </c>
      <c r="F1644" s="451">
        <v>117800</v>
      </c>
      <c r="G1644" s="459">
        <f t="shared" si="25"/>
        <v>100</v>
      </c>
    </row>
    <row r="1645" spans="1:7">
      <c r="A1645" s="241" t="s">
        <v>217</v>
      </c>
      <c r="B1645" s="242" t="s">
        <v>1839</v>
      </c>
      <c r="C1645" s="242" t="s">
        <v>28</v>
      </c>
      <c r="D1645" s="242" t="s">
        <v>337</v>
      </c>
      <c r="E1645" s="453">
        <v>117800</v>
      </c>
      <c r="F1645" s="451">
        <v>117800</v>
      </c>
      <c r="G1645" s="459">
        <f t="shared" si="25"/>
        <v>100</v>
      </c>
    </row>
    <row r="1646" spans="1:7" ht="25.5">
      <c r="A1646" s="241" t="s">
        <v>1319</v>
      </c>
      <c r="B1646" s="242" t="s">
        <v>1839</v>
      </c>
      <c r="C1646" s="242" t="s">
        <v>1320</v>
      </c>
      <c r="D1646" s="242"/>
      <c r="E1646" s="453">
        <v>2900</v>
      </c>
      <c r="F1646" s="451">
        <v>2900</v>
      </c>
      <c r="G1646" s="459">
        <f t="shared" si="25"/>
        <v>100</v>
      </c>
    </row>
    <row r="1647" spans="1:7" ht="25.5">
      <c r="A1647" s="241" t="s">
        <v>1196</v>
      </c>
      <c r="B1647" s="242" t="s">
        <v>1839</v>
      </c>
      <c r="C1647" s="242" t="s">
        <v>1197</v>
      </c>
      <c r="D1647" s="242"/>
      <c r="E1647" s="453">
        <v>2900</v>
      </c>
      <c r="F1647" s="451">
        <v>2900</v>
      </c>
      <c r="G1647" s="459">
        <f t="shared" si="25"/>
        <v>100</v>
      </c>
    </row>
    <row r="1648" spans="1:7">
      <c r="A1648" s="241" t="s">
        <v>234</v>
      </c>
      <c r="B1648" s="242" t="s">
        <v>1839</v>
      </c>
      <c r="C1648" s="242" t="s">
        <v>1197</v>
      </c>
      <c r="D1648" s="242" t="s">
        <v>1135</v>
      </c>
      <c r="E1648" s="453">
        <v>2900</v>
      </c>
      <c r="F1648" s="451">
        <v>2900</v>
      </c>
      <c r="G1648" s="459">
        <f t="shared" si="25"/>
        <v>100</v>
      </c>
    </row>
    <row r="1649" spans="1:7">
      <c r="A1649" s="241" t="s">
        <v>217</v>
      </c>
      <c r="B1649" s="242" t="s">
        <v>1839</v>
      </c>
      <c r="C1649" s="242" t="s">
        <v>1197</v>
      </c>
      <c r="D1649" s="242" t="s">
        <v>337</v>
      </c>
      <c r="E1649" s="453">
        <v>2900</v>
      </c>
      <c r="F1649" s="451">
        <v>2900</v>
      </c>
      <c r="G1649" s="459">
        <f t="shared" si="25"/>
        <v>100</v>
      </c>
    </row>
    <row r="1650" spans="1:7" ht="191.25">
      <c r="A1650" s="241" t="s">
        <v>498</v>
      </c>
      <c r="B1650" s="242" t="s">
        <v>650</v>
      </c>
      <c r="C1650" s="242"/>
      <c r="D1650" s="242"/>
      <c r="E1650" s="453">
        <v>891615</v>
      </c>
      <c r="F1650" s="451">
        <v>891615</v>
      </c>
      <c r="G1650" s="459">
        <f t="shared" si="25"/>
        <v>100</v>
      </c>
    </row>
    <row r="1651" spans="1:7" ht="63.75">
      <c r="A1651" s="241" t="s">
        <v>1318</v>
      </c>
      <c r="B1651" s="242" t="s">
        <v>650</v>
      </c>
      <c r="C1651" s="242" t="s">
        <v>273</v>
      </c>
      <c r="D1651" s="242"/>
      <c r="E1651" s="453">
        <v>891615</v>
      </c>
      <c r="F1651" s="451">
        <v>891615</v>
      </c>
      <c r="G1651" s="459">
        <f t="shared" si="25"/>
        <v>100</v>
      </c>
    </row>
    <row r="1652" spans="1:7" ht="25.5">
      <c r="A1652" s="241" t="s">
        <v>1203</v>
      </c>
      <c r="B1652" s="242" t="s">
        <v>650</v>
      </c>
      <c r="C1652" s="242" t="s">
        <v>28</v>
      </c>
      <c r="D1652" s="242"/>
      <c r="E1652" s="453">
        <v>891615</v>
      </c>
      <c r="F1652" s="451">
        <v>891615</v>
      </c>
      <c r="G1652" s="459">
        <f t="shared" si="25"/>
        <v>100</v>
      </c>
    </row>
    <row r="1653" spans="1:7">
      <c r="A1653" s="241" t="s">
        <v>234</v>
      </c>
      <c r="B1653" s="242" t="s">
        <v>650</v>
      </c>
      <c r="C1653" s="242" t="s">
        <v>28</v>
      </c>
      <c r="D1653" s="242" t="s">
        <v>1135</v>
      </c>
      <c r="E1653" s="453">
        <v>891615</v>
      </c>
      <c r="F1653" s="451">
        <v>891615</v>
      </c>
      <c r="G1653" s="459">
        <f t="shared" si="25"/>
        <v>100</v>
      </c>
    </row>
    <row r="1654" spans="1:7" ht="51">
      <c r="A1654" s="241" t="s">
        <v>236</v>
      </c>
      <c r="B1654" s="242" t="s">
        <v>650</v>
      </c>
      <c r="C1654" s="242" t="s">
        <v>28</v>
      </c>
      <c r="D1654" s="242" t="s">
        <v>333</v>
      </c>
      <c r="E1654" s="453">
        <v>891615</v>
      </c>
      <c r="F1654" s="451">
        <v>891615</v>
      </c>
      <c r="G1654" s="459">
        <f t="shared" si="25"/>
        <v>100</v>
      </c>
    </row>
    <row r="1655" spans="1:7" ht="51">
      <c r="A1655" s="241" t="s">
        <v>330</v>
      </c>
      <c r="B1655" s="242" t="s">
        <v>1009</v>
      </c>
      <c r="C1655" s="242"/>
      <c r="D1655" s="242"/>
      <c r="E1655" s="453">
        <v>3072393.82</v>
      </c>
      <c r="F1655" s="451">
        <v>3066944.42</v>
      </c>
      <c r="G1655" s="459">
        <f t="shared" si="25"/>
        <v>99.822633414879093</v>
      </c>
    </row>
    <row r="1656" spans="1:7" ht="63.75">
      <c r="A1656" s="241" t="s">
        <v>2033</v>
      </c>
      <c r="B1656" s="242" t="s">
        <v>2194</v>
      </c>
      <c r="C1656" s="242"/>
      <c r="D1656" s="242"/>
      <c r="E1656" s="453">
        <v>67390</v>
      </c>
      <c r="F1656" s="451">
        <v>67390</v>
      </c>
      <c r="G1656" s="459">
        <f t="shared" si="25"/>
        <v>100</v>
      </c>
    </row>
    <row r="1657" spans="1:7" ht="63.75">
      <c r="A1657" s="241" t="s">
        <v>1318</v>
      </c>
      <c r="B1657" s="242" t="s">
        <v>2194</v>
      </c>
      <c r="C1657" s="242" t="s">
        <v>273</v>
      </c>
      <c r="D1657" s="242"/>
      <c r="E1657" s="453">
        <v>67390</v>
      </c>
      <c r="F1657" s="451">
        <v>67390</v>
      </c>
      <c r="G1657" s="459">
        <f t="shared" si="25"/>
        <v>100</v>
      </c>
    </row>
    <row r="1658" spans="1:7" ht="25.5">
      <c r="A1658" s="241" t="s">
        <v>1203</v>
      </c>
      <c r="B1658" s="242" t="s">
        <v>2194</v>
      </c>
      <c r="C1658" s="242" t="s">
        <v>28</v>
      </c>
      <c r="D1658" s="242"/>
      <c r="E1658" s="453">
        <v>67390</v>
      </c>
      <c r="F1658" s="451">
        <v>67390</v>
      </c>
      <c r="G1658" s="459">
        <f t="shared" si="25"/>
        <v>100</v>
      </c>
    </row>
    <row r="1659" spans="1:7">
      <c r="A1659" s="241" t="s">
        <v>234</v>
      </c>
      <c r="B1659" s="242" t="s">
        <v>2194</v>
      </c>
      <c r="C1659" s="242" t="s">
        <v>28</v>
      </c>
      <c r="D1659" s="242" t="s">
        <v>1135</v>
      </c>
      <c r="E1659" s="453">
        <v>67390</v>
      </c>
      <c r="F1659" s="451">
        <v>67390</v>
      </c>
      <c r="G1659" s="459">
        <f t="shared" si="25"/>
        <v>100</v>
      </c>
    </row>
    <row r="1660" spans="1:7" ht="38.25">
      <c r="A1660" s="241" t="s">
        <v>67</v>
      </c>
      <c r="B1660" s="242" t="s">
        <v>2194</v>
      </c>
      <c r="C1660" s="242" t="s">
        <v>28</v>
      </c>
      <c r="D1660" s="242" t="s">
        <v>327</v>
      </c>
      <c r="E1660" s="453">
        <v>67390</v>
      </c>
      <c r="F1660" s="451">
        <v>67390</v>
      </c>
      <c r="G1660" s="459">
        <f t="shared" si="25"/>
        <v>100</v>
      </c>
    </row>
    <row r="1661" spans="1:7" ht="51">
      <c r="A1661" s="241" t="s">
        <v>330</v>
      </c>
      <c r="B1661" s="242" t="s">
        <v>640</v>
      </c>
      <c r="C1661" s="242"/>
      <c r="D1661" s="242"/>
      <c r="E1661" s="453">
        <v>3005003.82</v>
      </c>
      <c r="F1661" s="451">
        <v>2999554.42</v>
      </c>
      <c r="G1661" s="459">
        <f t="shared" si="25"/>
        <v>99.818655804570668</v>
      </c>
    </row>
    <row r="1662" spans="1:7" ht="63.75">
      <c r="A1662" s="241" t="s">
        <v>1318</v>
      </c>
      <c r="B1662" s="242" t="s">
        <v>640</v>
      </c>
      <c r="C1662" s="242" t="s">
        <v>273</v>
      </c>
      <c r="D1662" s="242"/>
      <c r="E1662" s="453">
        <v>3005003.82</v>
      </c>
      <c r="F1662" s="451">
        <v>2999554.42</v>
      </c>
      <c r="G1662" s="459">
        <f t="shared" si="25"/>
        <v>99.818655804570668</v>
      </c>
    </row>
    <row r="1663" spans="1:7" ht="25.5">
      <c r="A1663" s="241" t="s">
        <v>1203</v>
      </c>
      <c r="B1663" s="242" t="s">
        <v>640</v>
      </c>
      <c r="C1663" s="242" t="s">
        <v>28</v>
      </c>
      <c r="D1663" s="242"/>
      <c r="E1663" s="453">
        <v>3005003.82</v>
      </c>
      <c r="F1663" s="451">
        <v>2999554.42</v>
      </c>
      <c r="G1663" s="459">
        <f t="shared" si="25"/>
        <v>99.818655804570668</v>
      </c>
    </row>
    <row r="1664" spans="1:7">
      <c r="A1664" s="241" t="s">
        <v>234</v>
      </c>
      <c r="B1664" s="242" t="s">
        <v>640</v>
      </c>
      <c r="C1664" s="242" t="s">
        <v>28</v>
      </c>
      <c r="D1664" s="242" t="s">
        <v>1135</v>
      </c>
      <c r="E1664" s="453">
        <v>3005003.82</v>
      </c>
      <c r="F1664" s="451">
        <v>2999554.42</v>
      </c>
      <c r="G1664" s="459">
        <f t="shared" si="25"/>
        <v>99.818655804570668</v>
      </c>
    </row>
    <row r="1665" spans="1:7" ht="38.25">
      <c r="A1665" s="241" t="s">
        <v>67</v>
      </c>
      <c r="B1665" s="242" t="s">
        <v>640</v>
      </c>
      <c r="C1665" s="242" t="s">
        <v>28</v>
      </c>
      <c r="D1665" s="242" t="s">
        <v>327</v>
      </c>
      <c r="E1665" s="453">
        <v>3005003.82</v>
      </c>
      <c r="F1665" s="451">
        <v>2999554.42</v>
      </c>
      <c r="G1665" s="459">
        <f t="shared" si="25"/>
        <v>99.818655804570668</v>
      </c>
    </row>
    <row r="1666" spans="1:7" ht="51">
      <c r="A1666" s="241" t="s">
        <v>332</v>
      </c>
      <c r="B1666" s="242" t="s">
        <v>1010</v>
      </c>
      <c r="C1666" s="242"/>
      <c r="D1666" s="242"/>
      <c r="E1666" s="453">
        <v>1413756</v>
      </c>
      <c r="F1666" s="451">
        <v>1411135.93</v>
      </c>
      <c r="G1666" s="459">
        <f t="shared" si="25"/>
        <v>99.814673111908974</v>
      </c>
    </row>
    <row r="1667" spans="1:7" ht="63.75">
      <c r="A1667" s="241" t="s">
        <v>2033</v>
      </c>
      <c r="B1667" s="242" t="s">
        <v>2195</v>
      </c>
      <c r="C1667" s="242"/>
      <c r="D1667" s="242"/>
      <c r="E1667" s="453">
        <v>181510</v>
      </c>
      <c r="F1667" s="451">
        <v>181510</v>
      </c>
      <c r="G1667" s="459">
        <f t="shared" si="25"/>
        <v>100</v>
      </c>
    </row>
    <row r="1668" spans="1:7" ht="63.75">
      <c r="A1668" s="241" t="s">
        <v>1318</v>
      </c>
      <c r="B1668" s="242" t="s">
        <v>2195</v>
      </c>
      <c r="C1668" s="242" t="s">
        <v>273</v>
      </c>
      <c r="D1668" s="242"/>
      <c r="E1668" s="453">
        <v>181510</v>
      </c>
      <c r="F1668" s="451">
        <v>181510</v>
      </c>
      <c r="G1668" s="459">
        <f t="shared" si="25"/>
        <v>100</v>
      </c>
    </row>
    <row r="1669" spans="1:7" ht="25.5">
      <c r="A1669" s="241" t="s">
        <v>1203</v>
      </c>
      <c r="B1669" s="242" t="s">
        <v>2195</v>
      </c>
      <c r="C1669" s="242" t="s">
        <v>28</v>
      </c>
      <c r="D1669" s="242"/>
      <c r="E1669" s="453">
        <v>181510</v>
      </c>
      <c r="F1669" s="451">
        <v>181510</v>
      </c>
      <c r="G1669" s="459">
        <f t="shared" si="25"/>
        <v>100</v>
      </c>
    </row>
    <row r="1670" spans="1:7">
      <c r="A1670" s="241" t="s">
        <v>234</v>
      </c>
      <c r="B1670" s="242" t="s">
        <v>2195</v>
      </c>
      <c r="C1670" s="242" t="s">
        <v>28</v>
      </c>
      <c r="D1670" s="242" t="s">
        <v>1135</v>
      </c>
      <c r="E1670" s="453">
        <v>181510</v>
      </c>
      <c r="F1670" s="451">
        <v>181510</v>
      </c>
      <c r="G1670" s="459">
        <f t="shared" si="25"/>
        <v>100</v>
      </c>
    </row>
    <row r="1671" spans="1:7" ht="38.25">
      <c r="A1671" s="241" t="s">
        <v>216</v>
      </c>
      <c r="B1671" s="242" t="s">
        <v>2195</v>
      </c>
      <c r="C1671" s="242" t="s">
        <v>28</v>
      </c>
      <c r="D1671" s="242" t="s">
        <v>331</v>
      </c>
      <c r="E1671" s="453">
        <v>181510</v>
      </c>
      <c r="F1671" s="451">
        <v>181510</v>
      </c>
      <c r="G1671" s="459">
        <f t="shared" ref="G1671:G1734" si="26">F1671/E1671*100</f>
        <v>100</v>
      </c>
    </row>
    <row r="1672" spans="1:7" ht="51">
      <c r="A1672" s="241" t="s">
        <v>332</v>
      </c>
      <c r="B1672" s="242" t="s">
        <v>642</v>
      </c>
      <c r="C1672" s="242"/>
      <c r="D1672" s="242"/>
      <c r="E1672" s="453">
        <v>1232246</v>
      </c>
      <c r="F1672" s="451">
        <v>1229625.93</v>
      </c>
      <c r="G1672" s="459">
        <f t="shared" si="26"/>
        <v>99.787374436597887</v>
      </c>
    </row>
    <row r="1673" spans="1:7" ht="63.75">
      <c r="A1673" s="241" t="s">
        <v>1318</v>
      </c>
      <c r="B1673" s="242" t="s">
        <v>642</v>
      </c>
      <c r="C1673" s="242" t="s">
        <v>273</v>
      </c>
      <c r="D1673" s="242"/>
      <c r="E1673" s="453">
        <v>1232246</v>
      </c>
      <c r="F1673" s="451">
        <v>1229625.93</v>
      </c>
      <c r="G1673" s="459">
        <f t="shared" si="26"/>
        <v>99.787374436597887</v>
      </c>
    </row>
    <row r="1674" spans="1:7" ht="25.5">
      <c r="A1674" s="241" t="s">
        <v>1203</v>
      </c>
      <c r="B1674" s="242" t="s">
        <v>642</v>
      </c>
      <c r="C1674" s="242" t="s">
        <v>28</v>
      </c>
      <c r="D1674" s="242"/>
      <c r="E1674" s="453">
        <v>1232246</v>
      </c>
      <c r="F1674" s="451">
        <v>1229625.93</v>
      </c>
      <c r="G1674" s="459">
        <f t="shared" si="26"/>
        <v>99.787374436597887</v>
      </c>
    </row>
    <row r="1675" spans="1:7">
      <c r="A1675" s="241" t="s">
        <v>234</v>
      </c>
      <c r="B1675" s="242" t="s">
        <v>642</v>
      </c>
      <c r="C1675" s="242" t="s">
        <v>28</v>
      </c>
      <c r="D1675" s="242" t="s">
        <v>1135</v>
      </c>
      <c r="E1675" s="453">
        <v>1232246</v>
      </c>
      <c r="F1675" s="451">
        <v>1229625.93</v>
      </c>
      <c r="G1675" s="459">
        <f t="shared" si="26"/>
        <v>99.787374436597887</v>
      </c>
    </row>
    <row r="1676" spans="1:7" ht="38.25">
      <c r="A1676" s="241" t="s">
        <v>216</v>
      </c>
      <c r="B1676" s="242" t="s">
        <v>642</v>
      </c>
      <c r="C1676" s="242" t="s">
        <v>28</v>
      </c>
      <c r="D1676" s="242" t="s">
        <v>331</v>
      </c>
      <c r="E1676" s="453">
        <v>1232246</v>
      </c>
      <c r="F1676" s="451">
        <v>1229625.93</v>
      </c>
      <c r="G1676" s="459">
        <f t="shared" si="26"/>
        <v>99.787374436597887</v>
      </c>
    </row>
    <row r="1677" spans="1:7" ht="25.5">
      <c r="A1677" s="241" t="s">
        <v>601</v>
      </c>
      <c r="B1677" s="242" t="s">
        <v>1011</v>
      </c>
      <c r="C1677" s="242"/>
      <c r="D1677" s="242"/>
      <c r="E1677" s="453">
        <v>46013413.439999998</v>
      </c>
      <c r="F1677" s="451">
        <v>43780669.07</v>
      </c>
      <c r="G1677" s="459">
        <f t="shared" si="26"/>
        <v>95.147622827609993</v>
      </c>
    </row>
    <row r="1678" spans="1:7" ht="38.25">
      <c r="A1678" s="241" t="s">
        <v>427</v>
      </c>
      <c r="B1678" s="242" t="s">
        <v>1012</v>
      </c>
      <c r="C1678" s="242"/>
      <c r="D1678" s="242"/>
      <c r="E1678" s="453">
        <v>18978201.199999999</v>
      </c>
      <c r="F1678" s="451">
        <v>17136473.969999999</v>
      </c>
      <c r="G1678" s="459">
        <f t="shared" si="26"/>
        <v>90.295564839938564</v>
      </c>
    </row>
    <row r="1679" spans="1:7" ht="38.25">
      <c r="A1679" s="241" t="s">
        <v>2221</v>
      </c>
      <c r="B1679" s="242" t="s">
        <v>2222</v>
      </c>
      <c r="C1679" s="242"/>
      <c r="D1679" s="242"/>
      <c r="E1679" s="453">
        <v>14428201.199999999</v>
      </c>
      <c r="F1679" s="451">
        <v>13801797.6</v>
      </c>
      <c r="G1679" s="459">
        <f t="shared" si="26"/>
        <v>95.658477510003124</v>
      </c>
    </row>
    <row r="1680" spans="1:7" ht="25.5">
      <c r="A1680" s="241" t="s">
        <v>1319</v>
      </c>
      <c r="B1680" s="242" t="s">
        <v>2222</v>
      </c>
      <c r="C1680" s="242" t="s">
        <v>1320</v>
      </c>
      <c r="D1680" s="242"/>
      <c r="E1680" s="453">
        <v>14428201.199999999</v>
      </c>
      <c r="F1680" s="451">
        <v>13801797.6</v>
      </c>
      <c r="G1680" s="459">
        <f t="shared" si="26"/>
        <v>95.658477510003124</v>
      </c>
    </row>
    <row r="1681" spans="1:7" ht="25.5">
      <c r="A1681" s="241" t="s">
        <v>1196</v>
      </c>
      <c r="B1681" s="242" t="s">
        <v>2222</v>
      </c>
      <c r="C1681" s="242" t="s">
        <v>1197</v>
      </c>
      <c r="D1681" s="242"/>
      <c r="E1681" s="453">
        <v>14428201.199999999</v>
      </c>
      <c r="F1681" s="451">
        <v>13801797.6</v>
      </c>
      <c r="G1681" s="459">
        <f t="shared" si="26"/>
        <v>95.658477510003124</v>
      </c>
    </row>
    <row r="1682" spans="1:7">
      <c r="A1682" s="241" t="s">
        <v>239</v>
      </c>
      <c r="B1682" s="242" t="s">
        <v>2222</v>
      </c>
      <c r="C1682" s="242" t="s">
        <v>1197</v>
      </c>
      <c r="D1682" s="242" t="s">
        <v>1141</v>
      </c>
      <c r="E1682" s="453">
        <v>14428201.199999999</v>
      </c>
      <c r="F1682" s="451">
        <v>13801797.6</v>
      </c>
      <c r="G1682" s="459">
        <f t="shared" si="26"/>
        <v>95.658477510003124</v>
      </c>
    </row>
    <row r="1683" spans="1:7">
      <c r="A1683" s="241" t="s">
        <v>146</v>
      </c>
      <c r="B1683" s="242" t="s">
        <v>2222</v>
      </c>
      <c r="C1683" s="242" t="s">
        <v>1197</v>
      </c>
      <c r="D1683" s="242" t="s">
        <v>364</v>
      </c>
      <c r="E1683" s="453">
        <v>14428201.199999999</v>
      </c>
      <c r="F1683" s="451">
        <v>13801797.6</v>
      </c>
      <c r="G1683" s="459">
        <f t="shared" si="26"/>
        <v>95.658477510003124</v>
      </c>
    </row>
    <row r="1684" spans="1:7" ht="38.25">
      <c r="A1684" s="241" t="s">
        <v>427</v>
      </c>
      <c r="B1684" s="242" t="s">
        <v>793</v>
      </c>
      <c r="C1684" s="242"/>
      <c r="D1684" s="242"/>
      <c r="E1684" s="453">
        <v>4550000</v>
      </c>
      <c r="F1684" s="451">
        <v>3334676.37</v>
      </c>
      <c r="G1684" s="459">
        <f t="shared" si="26"/>
        <v>73.289590549450551</v>
      </c>
    </row>
    <row r="1685" spans="1:7" ht="25.5">
      <c r="A1685" s="241" t="s">
        <v>1319</v>
      </c>
      <c r="B1685" s="242" t="s">
        <v>793</v>
      </c>
      <c r="C1685" s="242" t="s">
        <v>1320</v>
      </c>
      <c r="D1685" s="242"/>
      <c r="E1685" s="453">
        <v>2645000</v>
      </c>
      <c r="F1685" s="451">
        <v>2645000</v>
      </c>
      <c r="G1685" s="459">
        <f t="shared" si="26"/>
        <v>100</v>
      </c>
    </row>
    <row r="1686" spans="1:7" ht="25.5">
      <c r="A1686" s="241" t="s">
        <v>1196</v>
      </c>
      <c r="B1686" s="242" t="s">
        <v>793</v>
      </c>
      <c r="C1686" s="242" t="s">
        <v>1197</v>
      </c>
      <c r="D1686" s="242"/>
      <c r="E1686" s="453">
        <v>2645000</v>
      </c>
      <c r="F1686" s="451">
        <v>2645000</v>
      </c>
      <c r="G1686" s="459">
        <f t="shared" si="26"/>
        <v>100</v>
      </c>
    </row>
    <row r="1687" spans="1:7">
      <c r="A1687" s="241" t="s">
        <v>239</v>
      </c>
      <c r="B1687" s="242" t="s">
        <v>793</v>
      </c>
      <c r="C1687" s="242" t="s">
        <v>1197</v>
      </c>
      <c r="D1687" s="242" t="s">
        <v>1141</v>
      </c>
      <c r="E1687" s="453">
        <v>2645000</v>
      </c>
      <c r="F1687" s="451">
        <v>2645000</v>
      </c>
      <c r="G1687" s="459">
        <f t="shared" si="26"/>
        <v>100</v>
      </c>
    </row>
    <row r="1688" spans="1:7">
      <c r="A1688" s="241" t="s">
        <v>146</v>
      </c>
      <c r="B1688" s="242" t="s">
        <v>793</v>
      </c>
      <c r="C1688" s="242" t="s">
        <v>1197</v>
      </c>
      <c r="D1688" s="242" t="s">
        <v>364</v>
      </c>
      <c r="E1688" s="453">
        <v>2645000</v>
      </c>
      <c r="F1688" s="451">
        <v>2645000</v>
      </c>
      <c r="G1688" s="459">
        <f t="shared" si="26"/>
        <v>100</v>
      </c>
    </row>
    <row r="1689" spans="1:7">
      <c r="A1689" s="241" t="s">
        <v>1323</v>
      </c>
      <c r="B1689" s="242" t="s">
        <v>793</v>
      </c>
      <c r="C1689" s="242" t="s">
        <v>1324</v>
      </c>
      <c r="D1689" s="242"/>
      <c r="E1689" s="453">
        <v>90000</v>
      </c>
      <c r="F1689" s="451">
        <v>90000</v>
      </c>
      <c r="G1689" s="459">
        <f t="shared" si="26"/>
        <v>100</v>
      </c>
    </row>
    <row r="1690" spans="1:7" ht="25.5">
      <c r="A1690" s="241" t="s">
        <v>1200</v>
      </c>
      <c r="B1690" s="242" t="s">
        <v>793</v>
      </c>
      <c r="C1690" s="242" t="s">
        <v>557</v>
      </c>
      <c r="D1690" s="242"/>
      <c r="E1690" s="453">
        <v>90000</v>
      </c>
      <c r="F1690" s="451">
        <v>90000</v>
      </c>
      <c r="G1690" s="459">
        <f t="shared" si="26"/>
        <v>100</v>
      </c>
    </row>
    <row r="1691" spans="1:7">
      <c r="A1691" s="241" t="s">
        <v>141</v>
      </c>
      <c r="B1691" s="242" t="s">
        <v>793</v>
      </c>
      <c r="C1691" s="242" t="s">
        <v>557</v>
      </c>
      <c r="D1691" s="242" t="s">
        <v>1143</v>
      </c>
      <c r="E1691" s="453">
        <v>90000</v>
      </c>
      <c r="F1691" s="451">
        <v>90000</v>
      </c>
      <c r="G1691" s="459">
        <f t="shared" si="26"/>
        <v>100</v>
      </c>
    </row>
    <row r="1692" spans="1:7">
      <c r="A1692" s="241" t="s">
        <v>98</v>
      </c>
      <c r="B1692" s="242" t="s">
        <v>793</v>
      </c>
      <c r="C1692" s="242" t="s">
        <v>557</v>
      </c>
      <c r="D1692" s="242" t="s">
        <v>378</v>
      </c>
      <c r="E1692" s="453">
        <v>90000</v>
      </c>
      <c r="F1692" s="451">
        <v>90000</v>
      </c>
      <c r="G1692" s="459">
        <f t="shared" si="26"/>
        <v>100</v>
      </c>
    </row>
    <row r="1693" spans="1:7" ht="25.5">
      <c r="A1693" s="241" t="s">
        <v>1327</v>
      </c>
      <c r="B1693" s="242" t="s">
        <v>793</v>
      </c>
      <c r="C1693" s="242" t="s">
        <v>1328</v>
      </c>
      <c r="D1693" s="242"/>
      <c r="E1693" s="453">
        <v>599676.37</v>
      </c>
      <c r="F1693" s="451">
        <v>599676.37</v>
      </c>
      <c r="G1693" s="459">
        <f t="shared" si="26"/>
        <v>100</v>
      </c>
    </row>
    <row r="1694" spans="1:7">
      <c r="A1694" s="241" t="s">
        <v>1198</v>
      </c>
      <c r="B1694" s="242" t="s">
        <v>793</v>
      </c>
      <c r="C1694" s="242" t="s">
        <v>1199</v>
      </c>
      <c r="D1694" s="242"/>
      <c r="E1694" s="453">
        <v>599676.37</v>
      </c>
      <c r="F1694" s="451">
        <v>599676.37</v>
      </c>
      <c r="G1694" s="459">
        <f t="shared" si="26"/>
        <v>100</v>
      </c>
    </row>
    <row r="1695" spans="1:7">
      <c r="A1695" s="241" t="s">
        <v>140</v>
      </c>
      <c r="B1695" s="242" t="s">
        <v>793</v>
      </c>
      <c r="C1695" s="242" t="s">
        <v>1199</v>
      </c>
      <c r="D1695" s="242" t="s">
        <v>1142</v>
      </c>
      <c r="E1695" s="453">
        <v>599676.37</v>
      </c>
      <c r="F1695" s="451">
        <v>599676.37</v>
      </c>
      <c r="G1695" s="459">
        <f t="shared" si="26"/>
        <v>100</v>
      </c>
    </row>
    <row r="1696" spans="1:7">
      <c r="A1696" s="241" t="s">
        <v>1077</v>
      </c>
      <c r="B1696" s="242" t="s">
        <v>793</v>
      </c>
      <c r="C1696" s="242" t="s">
        <v>1199</v>
      </c>
      <c r="D1696" s="242" t="s">
        <v>1078</v>
      </c>
      <c r="E1696" s="453">
        <v>599676.37</v>
      </c>
      <c r="F1696" s="451">
        <v>599676.37</v>
      </c>
      <c r="G1696" s="459">
        <f t="shared" si="26"/>
        <v>100</v>
      </c>
    </row>
    <row r="1697" spans="1:7">
      <c r="A1697" s="241" t="s">
        <v>1321</v>
      </c>
      <c r="B1697" s="242" t="s">
        <v>793</v>
      </c>
      <c r="C1697" s="242" t="s">
        <v>1322</v>
      </c>
      <c r="D1697" s="242"/>
      <c r="E1697" s="453">
        <v>1215323.6299999999</v>
      </c>
      <c r="F1697" s="451">
        <v>0</v>
      </c>
      <c r="G1697" s="459">
        <f t="shared" si="26"/>
        <v>0</v>
      </c>
    </row>
    <row r="1698" spans="1:7">
      <c r="A1698" s="241" t="s">
        <v>428</v>
      </c>
      <c r="B1698" s="242" t="s">
        <v>793</v>
      </c>
      <c r="C1698" s="242" t="s">
        <v>429</v>
      </c>
      <c r="D1698" s="242"/>
      <c r="E1698" s="453">
        <v>1215323.6299999999</v>
      </c>
      <c r="F1698" s="451">
        <v>0</v>
      </c>
      <c r="G1698" s="459">
        <f t="shared" si="26"/>
        <v>0</v>
      </c>
    </row>
    <row r="1699" spans="1:7">
      <c r="A1699" s="241" t="s">
        <v>234</v>
      </c>
      <c r="B1699" s="242" t="s">
        <v>793</v>
      </c>
      <c r="C1699" s="242" t="s">
        <v>429</v>
      </c>
      <c r="D1699" s="242" t="s">
        <v>1135</v>
      </c>
      <c r="E1699" s="453">
        <v>1215323.6299999999</v>
      </c>
      <c r="F1699" s="451">
        <v>0</v>
      </c>
      <c r="G1699" s="459">
        <f t="shared" si="26"/>
        <v>0</v>
      </c>
    </row>
    <row r="1700" spans="1:7">
      <c r="A1700" s="241" t="s">
        <v>60</v>
      </c>
      <c r="B1700" s="242" t="s">
        <v>793</v>
      </c>
      <c r="C1700" s="242" t="s">
        <v>429</v>
      </c>
      <c r="D1700" s="242" t="s">
        <v>426</v>
      </c>
      <c r="E1700" s="453">
        <v>1215323.6299999999</v>
      </c>
      <c r="F1700" s="451">
        <v>0</v>
      </c>
      <c r="G1700" s="459">
        <f t="shared" si="26"/>
        <v>0</v>
      </c>
    </row>
    <row r="1701" spans="1:7" ht="63.75">
      <c r="A1701" s="241" t="s">
        <v>2039</v>
      </c>
      <c r="B1701" s="242" t="s">
        <v>1193</v>
      </c>
      <c r="C1701" s="242"/>
      <c r="D1701" s="242"/>
      <c r="E1701" s="453">
        <v>218800</v>
      </c>
      <c r="F1701" s="451">
        <v>218215.22</v>
      </c>
      <c r="G1701" s="459">
        <f t="shared" si="26"/>
        <v>99.732733089579526</v>
      </c>
    </row>
    <row r="1702" spans="1:7" ht="63.75">
      <c r="A1702" s="241" t="s">
        <v>2039</v>
      </c>
      <c r="B1702" s="242" t="s">
        <v>651</v>
      </c>
      <c r="C1702" s="242"/>
      <c r="D1702" s="242"/>
      <c r="E1702" s="453">
        <v>218800</v>
      </c>
      <c r="F1702" s="451">
        <v>218215.22</v>
      </c>
      <c r="G1702" s="459">
        <f t="shared" si="26"/>
        <v>99.732733089579526</v>
      </c>
    </row>
    <row r="1703" spans="1:7" ht="25.5">
      <c r="A1703" s="241" t="s">
        <v>1319</v>
      </c>
      <c r="B1703" s="242" t="s">
        <v>651</v>
      </c>
      <c r="C1703" s="242" t="s">
        <v>1320</v>
      </c>
      <c r="D1703" s="242"/>
      <c r="E1703" s="453">
        <v>218800</v>
      </c>
      <c r="F1703" s="451">
        <v>218215.22</v>
      </c>
      <c r="G1703" s="459">
        <f t="shared" si="26"/>
        <v>99.732733089579526</v>
      </c>
    </row>
    <row r="1704" spans="1:7" ht="25.5">
      <c r="A1704" s="241" t="s">
        <v>1196</v>
      </c>
      <c r="B1704" s="242" t="s">
        <v>651</v>
      </c>
      <c r="C1704" s="242" t="s">
        <v>1197</v>
      </c>
      <c r="D1704" s="242"/>
      <c r="E1704" s="453">
        <v>218800</v>
      </c>
      <c r="F1704" s="451">
        <v>218215.22</v>
      </c>
      <c r="G1704" s="459">
        <f t="shared" si="26"/>
        <v>99.732733089579526</v>
      </c>
    </row>
    <row r="1705" spans="1:7">
      <c r="A1705" s="241" t="s">
        <v>234</v>
      </c>
      <c r="B1705" s="242" t="s">
        <v>651</v>
      </c>
      <c r="C1705" s="242" t="s">
        <v>1197</v>
      </c>
      <c r="D1705" s="242" t="s">
        <v>1135</v>
      </c>
      <c r="E1705" s="453">
        <v>218800</v>
      </c>
      <c r="F1705" s="451">
        <v>218215.22</v>
      </c>
      <c r="G1705" s="459">
        <f t="shared" si="26"/>
        <v>99.732733089579526</v>
      </c>
    </row>
    <row r="1706" spans="1:7">
      <c r="A1706" s="241" t="s">
        <v>1191</v>
      </c>
      <c r="B1706" s="242" t="s">
        <v>651</v>
      </c>
      <c r="C1706" s="242" t="s">
        <v>1197</v>
      </c>
      <c r="D1706" s="242" t="s">
        <v>1192</v>
      </c>
      <c r="E1706" s="453">
        <v>218800</v>
      </c>
      <c r="F1706" s="451">
        <v>218215.22</v>
      </c>
      <c r="G1706" s="459">
        <f t="shared" si="26"/>
        <v>99.732733089579526</v>
      </c>
    </row>
    <row r="1707" spans="1:7" ht="38.25">
      <c r="A1707" s="241" t="s">
        <v>390</v>
      </c>
      <c r="B1707" s="242" t="s">
        <v>1013</v>
      </c>
      <c r="C1707" s="242"/>
      <c r="D1707" s="242"/>
      <c r="E1707" s="453">
        <v>6354823.2000000002</v>
      </c>
      <c r="F1707" s="451">
        <v>6306184.3600000003</v>
      </c>
      <c r="G1707" s="459">
        <f t="shared" si="26"/>
        <v>99.234615370573962</v>
      </c>
    </row>
    <row r="1708" spans="1:7" ht="63.75">
      <c r="A1708" s="241" t="s">
        <v>2048</v>
      </c>
      <c r="B1708" s="242" t="s">
        <v>2049</v>
      </c>
      <c r="C1708" s="242"/>
      <c r="D1708" s="242"/>
      <c r="E1708" s="453">
        <v>725268</v>
      </c>
      <c r="F1708" s="451">
        <v>725268</v>
      </c>
      <c r="G1708" s="459">
        <f t="shared" si="26"/>
        <v>100</v>
      </c>
    </row>
    <row r="1709" spans="1:7" ht="63.75">
      <c r="A1709" s="241" t="s">
        <v>1318</v>
      </c>
      <c r="B1709" s="242" t="s">
        <v>2049</v>
      </c>
      <c r="C1709" s="242" t="s">
        <v>273</v>
      </c>
      <c r="D1709" s="242"/>
      <c r="E1709" s="453">
        <v>725268</v>
      </c>
      <c r="F1709" s="451">
        <v>725268</v>
      </c>
      <c r="G1709" s="459">
        <f t="shared" si="26"/>
        <v>100</v>
      </c>
    </row>
    <row r="1710" spans="1:7">
      <c r="A1710" s="241" t="s">
        <v>1190</v>
      </c>
      <c r="B1710" s="242" t="s">
        <v>2049</v>
      </c>
      <c r="C1710" s="242" t="s">
        <v>133</v>
      </c>
      <c r="D1710" s="242"/>
      <c r="E1710" s="453">
        <v>725268</v>
      </c>
      <c r="F1710" s="451">
        <v>725268</v>
      </c>
      <c r="G1710" s="459">
        <f t="shared" si="26"/>
        <v>100</v>
      </c>
    </row>
    <row r="1711" spans="1:7">
      <c r="A1711" s="241" t="s">
        <v>239</v>
      </c>
      <c r="B1711" s="242" t="s">
        <v>2049</v>
      </c>
      <c r="C1711" s="242" t="s">
        <v>133</v>
      </c>
      <c r="D1711" s="242" t="s">
        <v>1141</v>
      </c>
      <c r="E1711" s="453">
        <v>725268</v>
      </c>
      <c r="F1711" s="451">
        <v>725268</v>
      </c>
      <c r="G1711" s="459">
        <f t="shared" si="26"/>
        <v>100</v>
      </c>
    </row>
    <row r="1712" spans="1:7" ht="25.5">
      <c r="A1712" s="241" t="s">
        <v>151</v>
      </c>
      <c r="B1712" s="242" t="s">
        <v>2049</v>
      </c>
      <c r="C1712" s="242" t="s">
        <v>133</v>
      </c>
      <c r="D1712" s="242" t="s">
        <v>389</v>
      </c>
      <c r="E1712" s="453">
        <v>725268</v>
      </c>
      <c r="F1712" s="451">
        <v>725268</v>
      </c>
      <c r="G1712" s="459">
        <f t="shared" si="26"/>
        <v>100</v>
      </c>
    </row>
    <row r="1713" spans="1:7" ht="38.25">
      <c r="A1713" s="241" t="s">
        <v>390</v>
      </c>
      <c r="B1713" s="242" t="s">
        <v>694</v>
      </c>
      <c r="C1713" s="242"/>
      <c r="D1713" s="242"/>
      <c r="E1713" s="453">
        <v>5569621.4900000002</v>
      </c>
      <c r="F1713" s="451">
        <v>5520982.6500000004</v>
      </c>
      <c r="G1713" s="459">
        <f t="shared" si="26"/>
        <v>99.126711930293126</v>
      </c>
    </row>
    <row r="1714" spans="1:7" ht="63.75">
      <c r="A1714" s="241" t="s">
        <v>1318</v>
      </c>
      <c r="B1714" s="242" t="s">
        <v>694</v>
      </c>
      <c r="C1714" s="242" t="s">
        <v>273</v>
      </c>
      <c r="D1714" s="242"/>
      <c r="E1714" s="453">
        <v>5180227</v>
      </c>
      <c r="F1714" s="451">
        <v>5141181.49</v>
      </c>
      <c r="G1714" s="459">
        <f t="shared" si="26"/>
        <v>99.24625870642349</v>
      </c>
    </row>
    <row r="1715" spans="1:7">
      <c r="A1715" s="241" t="s">
        <v>1190</v>
      </c>
      <c r="B1715" s="242" t="s">
        <v>694</v>
      </c>
      <c r="C1715" s="242" t="s">
        <v>133</v>
      </c>
      <c r="D1715" s="242"/>
      <c r="E1715" s="453">
        <v>5180227</v>
      </c>
      <c r="F1715" s="451">
        <v>5141181.49</v>
      </c>
      <c r="G1715" s="459">
        <f t="shared" si="26"/>
        <v>99.24625870642349</v>
      </c>
    </row>
    <row r="1716" spans="1:7">
      <c r="A1716" s="241" t="s">
        <v>239</v>
      </c>
      <c r="B1716" s="242" t="s">
        <v>694</v>
      </c>
      <c r="C1716" s="242" t="s">
        <v>133</v>
      </c>
      <c r="D1716" s="242" t="s">
        <v>1141</v>
      </c>
      <c r="E1716" s="453">
        <v>5180227</v>
      </c>
      <c r="F1716" s="451">
        <v>5141181.49</v>
      </c>
      <c r="G1716" s="459">
        <f t="shared" si="26"/>
        <v>99.24625870642349</v>
      </c>
    </row>
    <row r="1717" spans="1:7" ht="25.5">
      <c r="A1717" s="241" t="s">
        <v>151</v>
      </c>
      <c r="B1717" s="242" t="s">
        <v>694</v>
      </c>
      <c r="C1717" s="242" t="s">
        <v>133</v>
      </c>
      <c r="D1717" s="242" t="s">
        <v>389</v>
      </c>
      <c r="E1717" s="453">
        <v>5180227</v>
      </c>
      <c r="F1717" s="451">
        <v>5141181.49</v>
      </c>
      <c r="G1717" s="459">
        <f t="shared" si="26"/>
        <v>99.24625870642349</v>
      </c>
    </row>
    <row r="1718" spans="1:7" ht="25.5">
      <c r="A1718" s="241" t="s">
        <v>1319</v>
      </c>
      <c r="B1718" s="242" t="s">
        <v>694</v>
      </c>
      <c r="C1718" s="242" t="s">
        <v>1320</v>
      </c>
      <c r="D1718" s="242"/>
      <c r="E1718" s="453">
        <v>339393.96</v>
      </c>
      <c r="F1718" s="451">
        <v>329800.63</v>
      </c>
      <c r="G1718" s="459">
        <f t="shared" si="26"/>
        <v>97.173394010901077</v>
      </c>
    </row>
    <row r="1719" spans="1:7" ht="25.5">
      <c r="A1719" s="241" t="s">
        <v>1196</v>
      </c>
      <c r="B1719" s="242" t="s">
        <v>694</v>
      </c>
      <c r="C1719" s="242" t="s">
        <v>1197</v>
      </c>
      <c r="D1719" s="242"/>
      <c r="E1719" s="453">
        <v>339393.96</v>
      </c>
      <c r="F1719" s="451">
        <v>329800.63</v>
      </c>
      <c r="G1719" s="459">
        <f t="shared" si="26"/>
        <v>97.173394010901077</v>
      </c>
    </row>
    <row r="1720" spans="1:7">
      <c r="A1720" s="241" t="s">
        <v>239</v>
      </c>
      <c r="B1720" s="242" t="s">
        <v>694</v>
      </c>
      <c r="C1720" s="242" t="s">
        <v>1197</v>
      </c>
      <c r="D1720" s="242" t="s">
        <v>1141</v>
      </c>
      <c r="E1720" s="453">
        <v>339393.96</v>
      </c>
      <c r="F1720" s="451">
        <v>329800.63</v>
      </c>
      <c r="G1720" s="459">
        <f t="shared" si="26"/>
        <v>97.173394010901077</v>
      </c>
    </row>
    <row r="1721" spans="1:7" ht="25.5">
      <c r="A1721" s="241" t="s">
        <v>151</v>
      </c>
      <c r="B1721" s="242" t="s">
        <v>694</v>
      </c>
      <c r="C1721" s="242" t="s">
        <v>1197</v>
      </c>
      <c r="D1721" s="242" t="s">
        <v>389</v>
      </c>
      <c r="E1721" s="453">
        <v>339393.96</v>
      </c>
      <c r="F1721" s="451">
        <v>329800.63</v>
      </c>
      <c r="G1721" s="459">
        <f t="shared" si="26"/>
        <v>97.173394010901077</v>
      </c>
    </row>
    <row r="1722" spans="1:7">
      <c r="A1722" s="241" t="s">
        <v>1321</v>
      </c>
      <c r="B1722" s="242" t="s">
        <v>694</v>
      </c>
      <c r="C1722" s="242" t="s">
        <v>1322</v>
      </c>
      <c r="D1722" s="242"/>
      <c r="E1722" s="453">
        <v>50000.53</v>
      </c>
      <c r="F1722" s="451">
        <v>50000.53</v>
      </c>
      <c r="G1722" s="459">
        <f t="shared" si="26"/>
        <v>100</v>
      </c>
    </row>
    <row r="1723" spans="1:7">
      <c r="A1723" s="241" t="s">
        <v>1201</v>
      </c>
      <c r="B1723" s="242" t="s">
        <v>694</v>
      </c>
      <c r="C1723" s="242" t="s">
        <v>1202</v>
      </c>
      <c r="D1723" s="242"/>
      <c r="E1723" s="453">
        <v>50000.53</v>
      </c>
      <c r="F1723" s="451">
        <v>50000.53</v>
      </c>
      <c r="G1723" s="459">
        <f t="shared" si="26"/>
        <v>100</v>
      </c>
    </row>
    <row r="1724" spans="1:7">
      <c r="A1724" s="241" t="s">
        <v>239</v>
      </c>
      <c r="B1724" s="242" t="s">
        <v>694</v>
      </c>
      <c r="C1724" s="242" t="s">
        <v>1202</v>
      </c>
      <c r="D1724" s="242" t="s">
        <v>1141</v>
      </c>
      <c r="E1724" s="453">
        <v>50000.53</v>
      </c>
      <c r="F1724" s="451">
        <v>50000.53</v>
      </c>
      <c r="G1724" s="459">
        <f t="shared" si="26"/>
        <v>100</v>
      </c>
    </row>
    <row r="1725" spans="1:7" ht="25.5">
      <c r="A1725" s="241" t="s">
        <v>151</v>
      </c>
      <c r="B1725" s="242" t="s">
        <v>694</v>
      </c>
      <c r="C1725" s="242" t="s">
        <v>1202</v>
      </c>
      <c r="D1725" s="242" t="s">
        <v>389</v>
      </c>
      <c r="E1725" s="453">
        <v>50000.53</v>
      </c>
      <c r="F1725" s="451">
        <v>50000.53</v>
      </c>
      <c r="G1725" s="459">
        <f t="shared" si="26"/>
        <v>100</v>
      </c>
    </row>
    <row r="1726" spans="1:7" ht="51">
      <c r="A1726" s="241" t="s">
        <v>563</v>
      </c>
      <c r="B1726" s="242" t="s">
        <v>695</v>
      </c>
      <c r="C1726" s="242"/>
      <c r="D1726" s="242"/>
      <c r="E1726" s="453">
        <v>59933.71</v>
      </c>
      <c r="F1726" s="451">
        <v>59933.71</v>
      </c>
      <c r="G1726" s="459">
        <f t="shared" si="26"/>
        <v>100</v>
      </c>
    </row>
    <row r="1727" spans="1:7" ht="63.75">
      <c r="A1727" s="241" t="s">
        <v>1318</v>
      </c>
      <c r="B1727" s="242" t="s">
        <v>695</v>
      </c>
      <c r="C1727" s="242" t="s">
        <v>273</v>
      </c>
      <c r="D1727" s="242"/>
      <c r="E1727" s="453">
        <v>59933.71</v>
      </c>
      <c r="F1727" s="451">
        <v>59933.71</v>
      </c>
      <c r="G1727" s="459">
        <f t="shared" si="26"/>
        <v>100</v>
      </c>
    </row>
    <row r="1728" spans="1:7">
      <c r="A1728" s="241" t="s">
        <v>1190</v>
      </c>
      <c r="B1728" s="242" t="s">
        <v>695</v>
      </c>
      <c r="C1728" s="242" t="s">
        <v>133</v>
      </c>
      <c r="D1728" s="242"/>
      <c r="E1728" s="453">
        <v>59933.71</v>
      </c>
      <c r="F1728" s="451">
        <v>59933.71</v>
      </c>
      <c r="G1728" s="459">
        <f t="shared" si="26"/>
        <v>100</v>
      </c>
    </row>
    <row r="1729" spans="1:7">
      <c r="A1729" s="241" t="s">
        <v>239</v>
      </c>
      <c r="B1729" s="242" t="s">
        <v>695</v>
      </c>
      <c r="C1729" s="242" t="s">
        <v>133</v>
      </c>
      <c r="D1729" s="242" t="s">
        <v>1141</v>
      </c>
      <c r="E1729" s="453">
        <v>59933.71</v>
      </c>
      <c r="F1729" s="451">
        <v>59933.71</v>
      </c>
      <c r="G1729" s="459">
        <f t="shared" si="26"/>
        <v>100</v>
      </c>
    </row>
    <row r="1730" spans="1:7" ht="25.5">
      <c r="A1730" s="241" t="s">
        <v>151</v>
      </c>
      <c r="B1730" s="242" t="s">
        <v>695</v>
      </c>
      <c r="C1730" s="242" t="s">
        <v>133</v>
      </c>
      <c r="D1730" s="242" t="s">
        <v>389</v>
      </c>
      <c r="E1730" s="453">
        <v>59933.71</v>
      </c>
      <c r="F1730" s="451">
        <v>59933.71</v>
      </c>
      <c r="G1730" s="459">
        <f t="shared" si="26"/>
        <v>100</v>
      </c>
    </row>
    <row r="1731" spans="1:7" ht="51">
      <c r="A1731" s="241" t="s">
        <v>2040</v>
      </c>
      <c r="B1731" s="242" t="s">
        <v>1014</v>
      </c>
      <c r="C1731" s="242"/>
      <c r="D1731" s="242"/>
      <c r="E1731" s="453">
        <v>60000</v>
      </c>
      <c r="F1731" s="451">
        <v>60000</v>
      </c>
      <c r="G1731" s="459">
        <f t="shared" si="26"/>
        <v>100</v>
      </c>
    </row>
    <row r="1732" spans="1:7" ht="51">
      <c r="A1732" s="241" t="s">
        <v>2040</v>
      </c>
      <c r="B1732" s="242" t="s">
        <v>655</v>
      </c>
      <c r="C1732" s="242"/>
      <c r="D1732" s="242"/>
      <c r="E1732" s="453">
        <v>60000</v>
      </c>
      <c r="F1732" s="451">
        <v>60000</v>
      </c>
      <c r="G1732" s="459">
        <f t="shared" si="26"/>
        <v>100</v>
      </c>
    </row>
    <row r="1733" spans="1:7">
      <c r="A1733" s="241" t="s">
        <v>1323</v>
      </c>
      <c r="B1733" s="242" t="s">
        <v>655</v>
      </c>
      <c r="C1733" s="242" t="s">
        <v>1324</v>
      </c>
      <c r="D1733" s="242"/>
      <c r="E1733" s="453">
        <v>60000</v>
      </c>
      <c r="F1733" s="451">
        <v>60000</v>
      </c>
      <c r="G1733" s="459">
        <f t="shared" si="26"/>
        <v>100</v>
      </c>
    </row>
    <row r="1734" spans="1:7" ht="25.5">
      <c r="A1734" s="241" t="s">
        <v>339</v>
      </c>
      <c r="B1734" s="242" t="s">
        <v>655</v>
      </c>
      <c r="C1734" s="242" t="s">
        <v>340</v>
      </c>
      <c r="D1734" s="242"/>
      <c r="E1734" s="453">
        <v>60000</v>
      </c>
      <c r="F1734" s="451">
        <v>60000</v>
      </c>
      <c r="G1734" s="459">
        <f t="shared" si="26"/>
        <v>100</v>
      </c>
    </row>
    <row r="1735" spans="1:7">
      <c r="A1735" s="241" t="s">
        <v>234</v>
      </c>
      <c r="B1735" s="242" t="s">
        <v>655</v>
      </c>
      <c r="C1735" s="242" t="s">
        <v>340</v>
      </c>
      <c r="D1735" s="242" t="s">
        <v>1135</v>
      </c>
      <c r="E1735" s="453">
        <v>60000</v>
      </c>
      <c r="F1735" s="451">
        <v>60000</v>
      </c>
      <c r="G1735" s="459">
        <f t="shared" ref="G1735:G1798" si="27">F1735/E1735*100</f>
        <v>100</v>
      </c>
    </row>
    <row r="1736" spans="1:7">
      <c r="A1736" s="241" t="s">
        <v>217</v>
      </c>
      <c r="B1736" s="242" t="s">
        <v>655</v>
      </c>
      <c r="C1736" s="242" t="s">
        <v>340</v>
      </c>
      <c r="D1736" s="242" t="s">
        <v>337</v>
      </c>
      <c r="E1736" s="453">
        <v>60000</v>
      </c>
      <c r="F1736" s="451">
        <v>60000</v>
      </c>
      <c r="G1736" s="459">
        <f t="shared" si="27"/>
        <v>100</v>
      </c>
    </row>
    <row r="1737" spans="1:7" ht="25.5">
      <c r="A1737" s="241" t="s">
        <v>1063</v>
      </c>
      <c r="B1737" s="242" t="s">
        <v>1064</v>
      </c>
      <c r="C1737" s="242"/>
      <c r="D1737" s="242"/>
      <c r="E1737" s="453">
        <v>9444476</v>
      </c>
      <c r="F1737" s="451">
        <v>9227554.0899999999</v>
      </c>
      <c r="G1737" s="459">
        <f t="shared" si="27"/>
        <v>97.703187450526627</v>
      </c>
    </row>
    <row r="1738" spans="1:7" ht="51">
      <c r="A1738" s="241" t="s">
        <v>2045</v>
      </c>
      <c r="B1738" s="242" t="s">
        <v>2046</v>
      </c>
      <c r="C1738" s="242"/>
      <c r="D1738" s="242"/>
      <c r="E1738" s="453">
        <v>1127855</v>
      </c>
      <c r="F1738" s="451">
        <v>1127855</v>
      </c>
      <c r="G1738" s="459">
        <f t="shared" si="27"/>
        <v>100</v>
      </c>
    </row>
    <row r="1739" spans="1:7" ht="63.75">
      <c r="A1739" s="241" t="s">
        <v>1318</v>
      </c>
      <c r="B1739" s="242" t="s">
        <v>2046</v>
      </c>
      <c r="C1739" s="242" t="s">
        <v>273</v>
      </c>
      <c r="D1739" s="242"/>
      <c r="E1739" s="453">
        <v>1127855</v>
      </c>
      <c r="F1739" s="451">
        <v>1127855</v>
      </c>
      <c r="G1739" s="459">
        <f t="shared" si="27"/>
        <v>100</v>
      </c>
    </row>
    <row r="1740" spans="1:7" ht="25.5">
      <c r="A1740" s="241" t="s">
        <v>1203</v>
      </c>
      <c r="B1740" s="242" t="s">
        <v>2046</v>
      </c>
      <c r="C1740" s="242" t="s">
        <v>28</v>
      </c>
      <c r="D1740" s="242"/>
      <c r="E1740" s="453">
        <v>1127855</v>
      </c>
      <c r="F1740" s="451">
        <v>1127855</v>
      </c>
      <c r="G1740" s="459">
        <f t="shared" si="27"/>
        <v>100</v>
      </c>
    </row>
    <row r="1741" spans="1:7">
      <c r="A1741" s="241" t="s">
        <v>234</v>
      </c>
      <c r="B1741" s="242" t="s">
        <v>2046</v>
      </c>
      <c r="C1741" s="242" t="s">
        <v>28</v>
      </c>
      <c r="D1741" s="242" t="s">
        <v>1135</v>
      </c>
      <c r="E1741" s="453">
        <v>1127855</v>
      </c>
      <c r="F1741" s="451">
        <v>1127855</v>
      </c>
      <c r="G1741" s="459">
        <f t="shared" si="27"/>
        <v>100</v>
      </c>
    </row>
    <row r="1742" spans="1:7">
      <c r="A1742" s="241" t="s">
        <v>217</v>
      </c>
      <c r="B1742" s="242" t="s">
        <v>2046</v>
      </c>
      <c r="C1742" s="242" t="s">
        <v>28</v>
      </c>
      <c r="D1742" s="242" t="s">
        <v>337</v>
      </c>
      <c r="E1742" s="453">
        <v>1127855</v>
      </c>
      <c r="F1742" s="451">
        <v>1127855</v>
      </c>
      <c r="G1742" s="459">
        <f t="shared" si="27"/>
        <v>100</v>
      </c>
    </row>
    <row r="1743" spans="1:7" ht="25.5">
      <c r="A1743" s="241" t="s">
        <v>1063</v>
      </c>
      <c r="B1743" s="242" t="s">
        <v>1076</v>
      </c>
      <c r="C1743" s="242"/>
      <c r="D1743" s="242"/>
      <c r="E1743" s="453">
        <v>8072304</v>
      </c>
      <c r="F1743" s="451">
        <v>7855435.3899999997</v>
      </c>
      <c r="G1743" s="459">
        <f t="shared" si="27"/>
        <v>97.313423652032924</v>
      </c>
    </row>
    <row r="1744" spans="1:7" ht="63.75">
      <c r="A1744" s="241" t="s">
        <v>1318</v>
      </c>
      <c r="B1744" s="242" t="s">
        <v>1076</v>
      </c>
      <c r="C1744" s="242" t="s">
        <v>273</v>
      </c>
      <c r="D1744" s="242"/>
      <c r="E1744" s="453">
        <v>7665827</v>
      </c>
      <c r="F1744" s="451">
        <v>7453994.1699999999</v>
      </c>
      <c r="G1744" s="459">
        <f t="shared" si="27"/>
        <v>97.236660441202233</v>
      </c>
    </row>
    <row r="1745" spans="1:7" ht="25.5">
      <c r="A1745" s="241" t="s">
        <v>1203</v>
      </c>
      <c r="B1745" s="242" t="s">
        <v>1076</v>
      </c>
      <c r="C1745" s="242" t="s">
        <v>28</v>
      </c>
      <c r="D1745" s="242"/>
      <c r="E1745" s="453">
        <v>7665827</v>
      </c>
      <c r="F1745" s="451">
        <v>7453994.1699999999</v>
      </c>
      <c r="G1745" s="459">
        <f t="shared" si="27"/>
        <v>97.236660441202233</v>
      </c>
    </row>
    <row r="1746" spans="1:7">
      <c r="A1746" s="241" t="s">
        <v>234</v>
      </c>
      <c r="B1746" s="242" t="s">
        <v>1076</v>
      </c>
      <c r="C1746" s="242" t="s">
        <v>28</v>
      </c>
      <c r="D1746" s="242" t="s">
        <v>1135</v>
      </c>
      <c r="E1746" s="453">
        <v>7665827</v>
      </c>
      <c r="F1746" s="451">
        <v>7453994.1699999999</v>
      </c>
      <c r="G1746" s="459">
        <f t="shared" si="27"/>
        <v>97.236660441202233</v>
      </c>
    </row>
    <row r="1747" spans="1:7">
      <c r="A1747" s="241" t="s">
        <v>217</v>
      </c>
      <c r="B1747" s="242" t="s">
        <v>1076</v>
      </c>
      <c r="C1747" s="242" t="s">
        <v>28</v>
      </c>
      <c r="D1747" s="242" t="s">
        <v>337</v>
      </c>
      <c r="E1747" s="453">
        <v>7665827</v>
      </c>
      <c r="F1747" s="451">
        <v>7453994.1699999999</v>
      </c>
      <c r="G1747" s="459">
        <f t="shared" si="27"/>
        <v>97.236660441202233</v>
      </c>
    </row>
    <row r="1748" spans="1:7" ht="25.5">
      <c r="A1748" s="241" t="s">
        <v>1319</v>
      </c>
      <c r="B1748" s="242" t="s">
        <v>1076</v>
      </c>
      <c r="C1748" s="242" t="s">
        <v>1320</v>
      </c>
      <c r="D1748" s="242"/>
      <c r="E1748" s="453">
        <v>406477</v>
      </c>
      <c r="F1748" s="451">
        <v>401441.22</v>
      </c>
      <c r="G1748" s="459">
        <f t="shared" si="27"/>
        <v>98.76111563507898</v>
      </c>
    </row>
    <row r="1749" spans="1:7" ht="25.5">
      <c r="A1749" s="241" t="s">
        <v>1196</v>
      </c>
      <c r="B1749" s="242" t="s">
        <v>1076</v>
      </c>
      <c r="C1749" s="242" t="s">
        <v>1197</v>
      </c>
      <c r="D1749" s="242"/>
      <c r="E1749" s="453">
        <v>406477</v>
      </c>
      <c r="F1749" s="451">
        <v>401441.22</v>
      </c>
      <c r="G1749" s="459">
        <f t="shared" si="27"/>
        <v>98.76111563507898</v>
      </c>
    </row>
    <row r="1750" spans="1:7">
      <c r="A1750" s="241" t="s">
        <v>234</v>
      </c>
      <c r="B1750" s="242" t="s">
        <v>1076</v>
      </c>
      <c r="C1750" s="242" t="s">
        <v>1197</v>
      </c>
      <c r="D1750" s="242" t="s">
        <v>1135</v>
      </c>
      <c r="E1750" s="453">
        <v>406477</v>
      </c>
      <c r="F1750" s="451">
        <v>401441.22</v>
      </c>
      <c r="G1750" s="459">
        <f t="shared" si="27"/>
        <v>98.76111563507898</v>
      </c>
    </row>
    <row r="1751" spans="1:7">
      <c r="A1751" s="241" t="s">
        <v>217</v>
      </c>
      <c r="B1751" s="242" t="s">
        <v>1076</v>
      </c>
      <c r="C1751" s="242" t="s">
        <v>1197</v>
      </c>
      <c r="D1751" s="242" t="s">
        <v>337</v>
      </c>
      <c r="E1751" s="453">
        <v>406477</v>
      </c>
      <c r="F1751" s="451">
        <v>401441.22</v>
      </c>
      <c r="G1751" s="459">
        <f t="shared" si="27"/>
        <v>98.76111563507898</v>
      </c>
    </row>
    <row r="1752" spans="1:7" ht="38.25">
      <c r="A1752" s="241" t="s">
        <v>1145</v>
      </c>
      <c r="B1752" s="242" t="s">
        <v>1146</v>
      </c>
      <c r="C1752" s="242"/>
      <c r="D1752" s="242"/>
      <c r="E1752" s="453">
        <v>80093.7</v>
      </c>
      <c r="F1752" s="451">
        <v>80093.7</v>
      </c>
      <c r="G1752" s="459">
        <f t="shared" si="27"/>
        <v>100</v>
      </c>
    </row>
    <row r="1753" spans="1:7" ht="63.75">
      <c r="A1753" s="241" t="s">
        <v>1318</v>
      </c>
      <c r="B1753" s="242" t="s">
        <v>1146</v>
      </c>
      <c r="C1753" s="242" t="s">
        <v>273</v>
      </c>
      <c r="D1753" s="242"/>
      <c r="E1753" s="453">
        <v>80093.7</v>
      </c>
      <c r="F1753" s="451">
        <v>80093.7</v>
      </c>
      <c r="G1753" s="459">
        <f t="shared" si="27"/>
        <v>100</v>
      </c>
    </row>
    <row r="1754" spans="1:7" ht="25.5">
      <c r="A1754" s="241" t="s">
        <v>1203</v>
      </c>
      <c r="B1754" s="242" t="s">
        <v>1146</v>
      </c>
      <c r="C1754" s="242" t="s">
        <v>28</v>
      </c>
      <c r="D1754" s="242"/>
      <c r="E1754" s="453">
        <v>80093.7</v>
      </c>
      <c r="F1754" s="451">
        <v>80093.7</v>
      </c>
      <c r="G1754" s="459">
        <f t="shared" si="27"/>
        <v>100</v>
      </c>
    </row>
    <row r="1755" spans="1:7">
      <c r="A1755" s="241" t="s">
        <v>234</v>
      </c>
      <c r="B1755" s="242" t="s">
        <v>1146</v>
      </c>
      <c r="C1755" s="242" t="s">
        <v>28</v>
      </c>
      <c r="D1755" s="242" t="s">
        <v>1135</v>
      </c>
      <c r="E1755" s="453">
        <v>80093.7</v>
      </c>
      <c r="F1755" s="451">
        <v>80093.7</v>
      </c>
      <c r="G1755" s="459">
        <f t="shared" si="27"/>
        <v>100</v>
      </c>
    </row>
    <row r="1756" spans="1:7">
      <c r="A1756" s="241" t="s">
        <v>217</v>
      </c>
      <c r="B1756" s="242" t="s">
        <v>1146</v>
      </c>
      <c r="C1756" s="242" t="s">
        <v>28</v>
      </c>
      <c r="D1756" s="242" t="s">
        <v>337</v>
      </c>
      <c r="E1756" s="453">
        <v>80093.7</v>
      </c>
      <c r="F1756" s="451">
        <v>80093.7</v>
      </c>
      <c r="G1756" s="459">
        <f t="shared" si="27"/>
        <v>100</v>
      </c>
    </row>
    <row r="1757" spans="1:7" ht="38.25">
      <c r="A1757" s="241" t="s">
        <v>2250</v>
      </c>
      <c r="B1757" s="242" t="s">
        <v>2251</v>
      </c>
      <c r="C1757" s="242"/>
      <c r="D1757" s="242"/>
      <c r="E1757" s="453">
        <v>164223.29999999999</v>
      </c>
      <c r="F1757" s="451">
        <v>164170</v>
      </c>
      <c r="G1757" s="459">
        <f t="shared" si="27"/>
        <v>99.967544191354094</v>
      </c>
    </row>
    <row r="1758" spans="1:7" ht="25.5">
      <c r="A1758" s="241" t="s">
        <v>1319</v>
      </c>
      <c r="B1758" s="242" t="s">
        <v>2251</v>
      </c>
      <c r="C1758" s="242" t="s">
        <v>1320</v>
      </c>
      <c r="D1758" s="242"/>
      <c r="E1758" s="453">
        <v>164223.29999999999</v>
      </c>
      <c r="F1758" s="451">
        <v>164170</v>
      </c>
      <c r="G1758" s="459">
        <f t="shared" si="27"/>
        <v>99.967544191354094</v>
      </c>
    </row>
    <row r="1759" spans="1:7" ht="25.5">
      <c r="A1759" s="241" t="s">
        <v>1196</v>
      </c>
      <c r="B1759" s="242" t="s">
        <v>2251</v>
      </c>
      <c r="C1759" s="242" t="s">
        <v>1197</v>
      </c>
      <c r="D1759" s="242"/>
      <c r="E1759" s="453">
        <v>164223.29999999999</v>
      </c>
      <c r="F1759" s="451">
        <v>164170</v>
      </c>
      <c r="G1759" s="459">
        <f t="shared" si="27"/>
        <v>99.967544191354094</v>
      </c>
    </row>
    <row r="1760" spans="1:7">
      <c r="A1760" s="241" t="s">
        <v>234</v>
      </c>
      <c r="B1760" s="242" t="s">
        <v>2251</v>
      </c>
      <c r="C1760" s="242" t="s">
        <v>1197</v>
      </c>
      <c r="D1760" s="242" t="s">
        <v>1135</v>
      </c>
      <c r="E1760" s="453">
        <v>164223.29999999999</v>
      </c>
      <c r="F1760" s="451">
        <v>164170</v>
      </c>
      <c r="G1760" s="459">
        <f t="shared" si="27"/>
        <v>99.967544191354094</v>
      </c>
    </row>
    <row r="1761" spans="1:7">
      <c r="A1761" s="241" t="s">
        <v>217</v>
      </c>
      <c r="B1761" s="242" t="s">
        <v>2251</v>
      </c>
      <c r="C1761" s="242" t="s">
        <v>1197</v>
      </c>
      <c r="D1761" s="242" t="s">
        <v>337</v>
      </c>
      <c r="E1761" s="453">
        <v>164223.29999999999</v>
      </c>
      <c r="F1761" s="451">
        <v>164170</v>
      </c>
      <c r="G1761" s="459">
        <f t="shared" si="27"/>
        <v>99.967544191354094</v>
      </c>
    </row>
    <row r="1762" spans="1:7" ht="25.5">
      <c r="A1762" s="241" t="s">
        <v>431</v>
      </c>
      <c r="B1762" s="242" t="s">
        <v>1015</v>
      </c>
      <c r="C1762" s="242"/>
      <c r="D1762" s="242"/>
      <c r="E1762" s="453">
        <v>10957113.039999999</v>
      </c>
      <c r="F1762" s="451">
        <v>10832241.43</v>
      </c>
      <c r="G1762" s="459">
        <f t="shared" si="27"/>
        <v>98.860360301621938</v>
      </c>
    </row>
    <row r="1763" spans="1:7" ht="25.5">
      <c r="A1763" s="241" t="s">
        <v>431</v>
      </c>
      <c r="B1763" s="242" t="s">
        <v>795</v>
      </c>
      <c r="C1763" s="242"/>
      <c r="D1763" s="242"/>
      <c r="E1763" s="453">
        <v>6075679.8099999996</v>
      </c>
      <c r="F1763" s="451">
        <v>6073265.2000000002</v>
      </c>
      <c r="G1763" s="459">
        <f t="shared" si="27"/>
        <v>99.960257780602177</v>
      </c>
    </row>
    <row r="1764" spans="1:7" ht="25.5">
      <c r="A1764" s="241" t="s">
        <v>1319</v>
      </c>
      <c r="B1764" s="242" t="s">
        <v>795</v>
      </c>
      <c r="C1764" s="242" t="s">
        <v>1320</v>
      </c>
      <c r="D1764" s="242"/>
      <c r="E1764" s="453">
        <v>40000</v>
      </c>
      <c r="F1764" s="451">
        <v>40000</v>
      </c>
      <c r="G1764" s="459">
        <f t="shared" si="27"/>
        <v>100</v>
      </c>
    </row>
    <row r="1765" spans="1:7" ht="25.5">
      <c r="A1765" s="241" t="s">
        <v>1196</v>
      </c>
      <c r="B1765" s="242" t="s">
        <v>795</v>
      </c>
      <c r="C1765" s="242" t="s">
        <v>1197</v>
      </c>
      <c r="D1765" s="242"/>
      <c r="E1765" s="453">
        <v>40000</v>
      </c>
      <c r="F1765" s="451">
        <v>40000</v>
      </c>
      <c r="G1765" s="459">
        <f t="shared" si="27"/>
        <v>100</v>
      </c>
    </row>
    <row r="1766" spans="1:7">
      <c r="A1766" s="241" t="s">
        <v>234</v>
      </c>
      <c r="B1766" s="242" t="s">
        <v>795</v>
      </c>
      <c r="C1766" s="242" t="s">
        <v>1197</v>
      </c>
      <c r="D1766" s="242" t="s">
        <v>1135</v>
      </c>
      <c r="E1766" s="453">
        <v>40000</v>
      </c>
      <c r="F1766" s="451">
        <v>40000</v>
      </c>
      <c r="G1766" s="459">
        <f t="shared" si="27"/>
        <v>100</v>
      </c>
    </row>
    <row r="1767" spans="1:7">
      <c r="A1767" s="241" t="s">
        <v>217</v>
      </c>
      <c r="B1767" s="242" t="s">
        <v>795</v>
      </c>
      <c r="C1767" s="242" t="s">
        <v>1197</v>
      </c>
      <c r="D1767" s="242" t="s">
        <v>337</v>
      </c>
      <c r="E1767" s="453">
        <v>40000</v>
      </c>
      <c r="F1767" s="451">
        <v>40000</v>
      </c>
      <c r="G1767" s="459">
        <f t="shared" si="27"/>
        <v>100</v>
      </c>
    </row>
    <row r="1768" spans="1:7">
      <c r="A1768" s="241" t="s">
        <v>1323</v>
      </c>
      <c r="B1768" s="242" t="s">
        <v>795</v>
      </c>
      <c r="C1768" s="242" t="s">
        <v>1324</v>
      </c>
      <c r="D1768" s="242"/>
      <c r="E1768" s="453">
        <v>5167942</v>
      </c>
      <c r="F1768" s="451">
        <v>5165527.3899999997</v>
      </c>
      <c r="G1768" s="459">
        <f t="shared" si="27"/>
        <v>99.953277145912239</v>
      </c>
    </row>
    <row r="1769" spans="1:7">
      <c r="A1769" s="241" t="s">
        <v>1204</v>
      </c>
      <c r="B1769" s="242" t="s">
        <v>795</v>
      </c>
      <c r="C1769" s="242" t="s">
        <v>1205</v>
      </c>
      <c r="D1769" s="242"/>
      <c r="E1769" s="453">
        <v>5167942</v>
      </c>
      <c r="F1769" s="451">
        <v>5165527.3899999997</v>
      </c>
      <c r="G1769" s="459">
        <f t="shared" si="27"/>
        <v>99.953277145912239</v>
      </c>
    </row>
    <row r="1770" spans="1:7">
      <c r="A1770" s="51" t="s">
        <v>141</v>
      </c>
      <c r="B1770" s="442" t="s">
        <v>795</v>
      </c>
      <c r="C1770" s="442" t="s">
        <v>1205</v>
      </c>
      <c r="D1770" s="442" t="s">
        <v>1143</v>
      </c>
      <c r="E1770" s="454">
        <v>5167942</v>
      </c>
      <c r="F1770" s="451">
        <v>5165527.3899999997</v>
      </c>
      <c r="G1770" s="459">
        <f t="shared" si="27"/>
        <v>99.953277145912239</v>
      </c>
    </row>
    <row r="1771" spans="1:7">
      <c r="A1771" s="51" t="s">
        <v>97</v>
      </c>
      <c r="B1771" s="442" t="s">
        <v>795</v>
      </c>
      <c r="C1771" s="442" t="s">
        <v>1205</v>
      </c>
      <c r="D1771" s="442" t="s">
        <v>375</v>
      </c>
      <c r="E1771" s="454">
        <v>5167942</v>
      </c>
      <c r="F1771" s="451">
        <v>5165527.3899999997</v>
      </c>
      <c r="G1771" s="459">
        <f t="shared" si="27"/>
        <v>99.953277145912239</v>
      </c>
    </row>
    <row r="1772" spans="1:7">
      <c r="A1772" s="51" t="s">
        <v>1321</v>
      </c>
      <c r="B1772" s="442" t="s">
        <v>795</v>
      </c>
      <c r="C1772" s="442" t="s">
        <v>1322</v>
      </c>
      <c r="D1772" s="442"/>
      <c r="E1772" s="454">
        <v>867737.81</v>
      </c>
      <c r="F1772" s="451">
        <v>867737.81</v>
      </c>
      <c r="G1772" s="459">
        <f t="shared" si="27"/>
        <v>100</v>
      </c>
    </row>
    <row r="1773" spans="1:7">
      <c r="A1773" s="51" t="s">
        <v>1201</v>
      </c>
      <c r="B1773" s="442" t="s">
        <v>795</v>
      </c>
      <c r="C1773" s="442" t="s">
        <v>1202</v>
      </c>
      <c r="D1773" s="442"/>
      <c r="E1773" s="454">
        <v>867737.81</v>
      </c>
      <c r="F1773" s="451">
        <v>867737.81</v>
      </c>
      <c r="G1773" s="459">
        <f t="shared" si="27"/>
        <v>100</v>
      </c>
    </row>
    <row r="1774" spans="1:7">
      <c r="A1774" s="51" t="s">
        <v>234</v>
      </c>
      <c r="B1774" s="442" t="s">
        <v>795</v>
      </c>
      <c r="C1774" s="442" t="s">
        <v>1202</v>
      </c>
      <c r="D1774" s="442" t="s">
        <v>1135</v>
      </c>
      <c r="E1774" s="454">
        <v>859575.07</v>
      </c>
      <c r="F1774" s="451">
        <v>859575.07</v>
      </c>
      <c r="G1774" s="459">
        <f t="shared" si="27"/>
        <v>100</v>
      </c>
    </row>
    <row r="1775" spans="1:7" ht="51">
      <c r="A1775" s="51" t="s">
        <v>236</v>
      </c>
      <c r="B1775" s="442" t="s">
        <v>795</v>
      </c>
      <c r="C1775" s="442" t="s">
        <v>1202</v>
      </c>
      <c r="D1775" s="442" t="s">
        <v>333</v>
      </c>
      <c r="E1775" s="454">
        <v>858825.07</v>
      </c>
      <c r="F1775" s="451">
        <v>858825.07</v>
      </c>
      <c r="G1775" s="459">
        <f t="shared" si="27"/>
        <v>100</v>
      </c>
    </row>
    <row r="1776" spans="1:7">
      <c r="A1776" s="51" t="s">
        <v>217</v>
      </c>
      <c r="B1776" s="442" t="s">
        <v>795</v>
      </c>
      <c r="C1776" s="442" t="s">
        <v>1202</v>
      </c>
      <c r="D1776" s="442" t="s">
        <v>337</v>
      </c>
      <c r="E1776" s="454">
        <v>750</v>
      </c>
      <c r="F1776" s="451">
        <v>750</v>
      </c>
      <c r="G1776" s="459">
        <f t="shared" si="27"/>
        <v>100</v>
      </c>
    </row>
    <row r="1777" spans="1:7">
      <c r="A1777" s="51" t="s">
        <v>239</v>
      </c>
      <c r="B1777" s="442" t="s">
        <v>795</v>
      </c>
      <c r="C1777" s="442" t="s">
        <v>1202</v>
      </c>
      <c r="D1777" s="442" t="s">
        <v>1141</v>
      </c>
      <c r="E1777" s="454">
        <v>8162.74</v>
      </c>
      <c r="F1777" s="451">
        <v>8162.74</v>
      </c>
      <c r="G1777" s="459">
        <f t="shared" si="27"/>
        <v>100</v>
      </c>
    </row>
    <row r="1778" spans="1:7">
      <c r="A1778" s="51" t="s">
        <v>3</v>
      </c>
      <c r="B1778" s="442" t="s">
        <v>795</v>
      </c>
      <c r="C1778" s="442" t="s">
        <v>1202</v>
      </c>
      <c r="D1778" s="442" t="s">
        <v>386</v>
      </c>
      <c r="E1778" s="454">
        <v>8162.74</v>
      </c>
      <c r="F1778" s="451">
        <v>8162.74</v>
      </c>
      <c r="G1778" s="459">
        <f t="shared" si="27"/>
        <v>100</v>
      </c>
    </row>
    <row r="1779" spans="1:7" ht="25.5">
      <c r="A1779" s="51" t="s">
        <v>2037</v>
      </c>
      <c r="B1779" s="442" t="s">
        <v>2038</v>
      </c>
      <c r="C1779" s="442"/>
      <c r="D1779" s="442"/>
      <c r="E1779" s="454">
        <v>3597076.23</v>
      </c>
      <c r="F1779" s="451">
        <v>3597076.23</v>
      </c>
      <c r="G1779" s="459">
        <f t="shared" si="27"/>
        <v>100</v>
      </c>
    </row>
    <row r="1780" spans="1:7">
      <c r="A1780" s="51" t="s">
        <v>1321</v>
      </c>
      <c r="B1780" s="442" t="s">
        <v>2038</v>
      </c>
      <c r="C1780" s="442" t="s">
        <v>1322</v>
      </c>
      <c r="D1780" s="442"/>
      <c r="E1780" s="454">
        <v>3597076.23</v>
      </c>
      <c r="F1780" s="451">
        <v>3597076.23</v>
      </c>
      <c r="G1780" s="459">
        <f t="shared" si="27"/>
        <v>100</v>
      </c>
    </row>
    <row r="1781" spans="1:7">
      <c r="A1781" s="51" t="s">
        <v>1210</v>
      </c>
      <c r="B1781" s="442" t="s">
        <v>2038</v>
      </c>
      <c r="C1781" s="442" t="s">
        <v>201</v>
      </c>
      <c r="D1781" s="442"/>
      <c r="E1781" s="454">
        <v>3591548.23</v>
      </c>
      <c r="F1781" s="451">
        <v>3591548.23</v>
      </c>
      <c r="G1781" s="459">
        <f t="shared" si="27"/>
        <v>100</v>
      </c>
    </row>
    <row r="1782" spans="1:7">
      <c r="A1782" s="51" t="s">
        <v>234</v>
      </c>
      <c r="B1782" s="442" t="s">
        <v>2038</v>
      </c>
      <c r="C1782" s="442" t="s">
        <v>201</v>
      </c>
      <c r="D1782" s="442" t="s">
        <v>1135</v>
      </c>
      <c r="E1782" s="454">
        <v>178682.49</v>
      </c>
      <c r="F1782" s="451">
        <v>178682.49</v>
      </c>
      <c r="G1782" s="459">
        <f t="shared" si="27"/>
        <v>100</v>
      </c>
    </row>
    <row r="1783" spans="1:7" ht="51">
      <c r="A1783" s="51" t="s">
        <v>236</v>
      </c>
      <c r="B1783" s="442" t="s">
        <v>2038</v>
      </c>
      <c r="C1783" s="442" t="s">
        <v>201</v>
      </c>
      <c r="D1783" s="442" t="s">
        <v>333</v>
      </c>
      <c r="E1783" s="454">
        <v>178682.49</v>
      </c>
      <c r="F1783" s="451">
        <v>178682.49</v>
      </c>
      <c r="G1783" s="459">
        <f t="shared" si="27"/>
        <v>100</v>
      </c>
    </row>
    <row r="1784" spans="1:7">
      <c r="A1784" s="51" t="s">
        <v>239</v>
      </c>
      <c r="B1784" s="442" t="s">
        <v>2038</v>
      </c>
      <c r="C1784" s="442" t="s">
        <v>201</v>
      </c>
      <c r="D1784" s="442" t="s">
        <v>1141</v>
      </c>
      <c r="E1784" s="454">
        <v>3412865.74</v>
      </c>
      <c r="F1784" s="451">
        <v>3412865.74</v>
      </c>
      <c r="G1784" s="459">
        <f t="shared" si="27"/>
        <v>100</v>
      </c>
    </row>
    <row r="1785" spans="1:7" ht="25.5">
      <c r="A1785" s="51" t="s">
        <v>151</v>
      </c>
      <c r="B1785" s="442" t="s">
        <v>2038</v>
      </c>
      <c r="C1785" s="442" t="s">
        <v>201</v>
      </c>
      <c r="D1785" s="442" t="s">
        <v>389</v>
      </c>
      <c r="E1785" s="454">
        <v>3412865.74</v>
      </c>
      <c r="F1785" s="451">
        <v>3412865.74</v>
      </c>
      <c r="G1785" s="459">
        <f t="shared" si="27"/>
        <v>100</v>
      </c>
    </row>
    <row r="1786" spans="1:7">
      <c r="A1786" s="51" t="s">
        <v>1201</v>
      </c>
      <c r="B1786" s="442" t="s">
        <v>2038</v>
      </c>
      <c r="C1786" s="442" t="s">
        <v>1202</v>
      </c>
      <c r="D1786" s="442"/>
      <c r="E1786" s="454">
        <v>5528</v>
      </c>
      <c r="F1786" s="451">
        <v>5528</v>
      </c>
      <c r="G1786" s="459">
        <f t="shared" si="27"/>
        <v>100</v>
      </c>
    </row>
    <row r="1787" spans="1:7">
      <c r="A1787" s="51" t="s">
        <v>183</v>
      </c>
      <c r="B1787" s="442" t="s">
        <v>2038</v>
      </c>
      <c r="C1787" s="442" t="s">
        <v>1202</v>
      </c>
      <c r="D1787" s="442" t="s">
        <v>1140</v>
      </c>
      <c r="E1787" s="454">
        <v>21</v>
      </c>
      <c r="F1787" s="451">
        <v>21</v>
      </c>
      <c r="G1787" s="459">
        <f t="shared" si="27"/>
        <v>100</v>
      </c>
    </row>
    <row r="1788" spans="1:7">
      <c r="A1788" s="51" t="s">
        <v>145</v>
      </c>
      <c r="B1788" s="442" t="s">
        <v>2038</v>
      </c>
      <c r="C1788" s="442" t="s">
        <v>1202</v>
      </c>
      <c r="D1788" s="442" t="s">
        <v>360</v>
      </c>
      <c r="E1788" s="454">
        <v>21</v>
      </c>
      <c r="F1788" s="451">
        <v>21</v>
      </c>
      <c r="G1788" s="459">
        <f t="shared" si="27"/>
        <v>100</v>
      </c>
    </row>
    <row r="1789" spans="1:7">
      <c r="A1789" s="51" t="s">
        <v>239</v>
      </c>
      <c r="B1789" s="442" t="s">
        <v>2038</v>
      </c>
      <c r="C1789" s="442" t="s">
        <v>1202</v>
      </c>
      <c r="D1789" s="442" t="s">
        <v>1141</v>
      </c>
      <c r="E1789" s="454">
        <v>5507</v>
      </c>
      <c r="F1789" s="451">
        <v>5507</v>
      </c>
      <c r="G1789" s="459">
        <f t="shared" si="27"/>
        <v>100</v>
      </c>
    </row>
    <row r="1790" spans="1:7" ht="25.5">
      <c r="A1790" s="51" t="s">
        <v>151</v>
      </c>
      <c r="B1790" s="442" t="s">
        <v>2038</v>
      </c>
      <c r="C1790" s="442" t="s">
        <v>1202</v>
      </c>
      <c r="D1790" s="442" t="s">
        <v>389</v>
      </c>
      <c r="E1790" s="454">
        <v>5507</v>
      </c>
      <c r="F1790" s="451">
        <v>5507</v>
      </c>
      <c r="G1790" s="459">
        <f t="shared" si="27"/>
        <v>100</v>
      </c>
    </row>
    <row r="1791" spans="1:7" ht="51">
      <c r="A1791" s="51" t="s">
        <v>527</v>
      </c>
      <c r="B1791" s="442" t="s">
        <v>734</v>
      </c>
      <c r="C1791" s="442"/>
      <c r="D1791" s="442"/>
      <c r="E1791" s="454">
        <v>735400</v>
      </c>
      <c r="F1791" s="451">
        <v>735400</v>
      </c>
      <c r="G1791" s="459">
        <f t="shared" si="27"/>
        <v>100</v>
      </c>
    </row>
    <row r="1792" spans="1:7" ht="25.5">
      <c r="A1792" s="51" t="s">
        <v>1319</v>
      </c>
      <c r="B1792" s="442" t="s">
        <v>734</v>
      </c>
      <c r="C1792" s="442" t="s">
        <v>1320</v>
      </c>
      <c r="D1792" s="442"/>
      <c r="E1792" s="454">
        <v>735400</v>
      </c>
      <c r="F1792" s="451">
        <v>735400</v>
      </c>
      <c r="G1792" s="459">
        <f t="shared" si="27"/>
        <v>100</v>
      </c>
    </row>
    <row r="1793" spans="1:7" ht="25.5">
      <c r="A1793" s="51" t="s">
        <v>1196</v>
      </c>
      <c r="B1793" s="442" t="s">
        <v>734</v>
      </c>
      <c r="C1793" s="442" t="s">
        <v>1197</v>
      </c>
      <c r="D1793" s="442"/>
      <c r="E1793" s="454">
        <v>735400</v>
      </c>
      <c r="F1793" s="451">
        <v>735400</v>
      </c>
      <c r="G1793" s="459">
        <f t="shared" si="27"/>
        <v>100</v>
      </c>
    </row>
    <row r="1794" spans="1:7">
      <c r="A1794" s="51" t="s">
        <v>234</v>
      </c>
      <c r="B1794" s="442" t="s">
        <v>734</v>
      </c>
      <c r="C1794" s="442" t="s">
        <v>1197</v>
      </c>
      <c r="D1794" s="442" t="s">
        <v>1135</v>
      </c>
      <c r="E1794" s="454">
        <v>735400</v>
      </c>
      <c r="F1794" s="451">
        <v>735400</v>
      </c>
      <c r="G1794" s="459">
        <f t="shared" si="27"/>
        <v>100</v>
      </c>
    </row>
    <row r="1795" spans="1:7">
      <c r="A1795" s="51" t="s">
        <v>217</v>
      </c>
      <c r="B1795" s="442" t="s">
        <v>734</v>
      </c>
      <c r="C1795" s="442" t="s">
        <v>1197</v>
      </c>
      <c r="D1795" s="442" t="s">
        <v>337</v>
      </c>
      <c r="E1795" s="454">
        <v>735400</v>
      </c>
      <c r="F1795" s="451">
        <v>735400</v>
      </c>
      <c r="G1795" s="459">
        <f t="shared" si="27"/>
        <v>100</v>
      </c>
    </row>
    <row r="1796" spans="1:7" ht="38.25">
      <c r="A1796" s="51" t="s">
        <v>403</v>
      </c>
      <c r="B1796" s="442" t="s">
        <v>735</v>
      </c>
      <c r="C1796" s="442"/>
      <c r="D1796" s="442"/>
      <c r="E1796" s="454">
        <v>426500</v>
      </c>
      <c r="F1796" s="451">
        <v>426500</v>
      </c>
      <c r="G1796" s="459">
        <f t="shared" si="27"/>
        <v>100</v>
      </c>
    </row>
    <row r="1797" spans="1:7" ht="25.5">
      <c r="A1797" s="51" t="s">
        <v>1319</v>
      </c>
      <c r="B1797" s="442" t="s">
        <v>735</v>
      </c>
      <c r="C1797" s="442" t="s">
        <v>1320</v>
      </c>
      <c r="D1797" s="442"/>
      <c r="E1797" s="454">
        <v>426500</v>
      </c>
      <c r="F1797" s="451">
        <v>426500</v>
      </c>
      <c r="G1797" s="459">
        <f t="shared" si="27"/>
        <v>100</v>
      </c>
    </row>
    <row r="1798" spans="1:7" ht="25.5">
      <c r="A1798" s="51" t="s">
        <v>1196</v>
      </c>
      <c r="B1798" s="442" t="s">
        <v>735</v>
      </c>
      <c r="C1798" s="442" t="s">
        <v>1197</v>
      </c>
      <c r="D1798" s="442"/>
      <c r="E1798" s="454">
        <v>426500</v>
      </c>
      <c r="F1798" s="451">
        <v>426500</v>
      </c>
      <c r="G1798" s="459">
        <f t="shared" si="27"/>
        <v>100</v>
      </c>
    </row>
    <row r="1799" spans="1:7">
      <c r="A1799" s="51" t="s">
        <v>183</v>
      </c>
      <c r="B1799" s="442" t="s">
        <v>735</v>
      </c>
      <c r="C1799" s="442" t="s">
        <v>1197</v>
      </c>
      <c r="D1799" s="442" t="s">
        <v>1140</v>
      </c>
      <c r="E1799" s="454">
        <v>426500</v>
      </c>
      <c r="F1799" s="451">
        <v>426500</v>
      </c>
      <c r="G1799" s="459">
        <f t="shared" ref="G1799:G1810" si="28">F1799/E1799*100</f>
        <v>100</v>
      </c>
    </row>
    <row r="1800" spans="1:7">
      <c r="A1800" s="51" t="s">
        <v>145</v>
      </c>
      <c r="B1800" s="442" t="s">
        <v>735</v>
      </c>
      <c r="C1800" s="442" t="s">
        <v>1197</v>
      </c>
      <c r="D1800" s="442" t="s">
        <v>360</v>
      </c>
      <c r="E1800" s="454">
        <v>426500</v>
      </c>
      <c r="F1800" s="451">
        <v>426500</v>
      </c>
      <c r="G1800" s="459">
        <f t="shared" si="28"/>
        <v>100</v>
      </c>
    </row>
    <row r="1801" spans="1:7" ht="63.75">
      <c r="A1801" s="51" t="s">
        <v>2252</v>
      </c>
      <c r="B1801" s="442" t="s">
        <v>2253</v>
      </c>
      <c r="C1801" s="442"/>
      <c r="D1801" s="442"/>
      <c r="E1801" s="454">
        <v>67500</v>
      </c>
      <c r="F1801" s="451">
        <v>0</v>
      </c>
      <c r="G1801" s="459">
        <f t="shared" si="28"/>
        <v>0</v>
      </c>
    </row>
    <row r="1802" spans="1:7" ht="25.5">
      <c r="A1802" s="51" t="s">
        <v>1319</v>
      </c>
      <c r="B1802" s="442" t="s">
        <v>2253</v>
      </c>
      <c r="C1802" s="442" t="s">
        <v>1320</v>
      </c>
      <c r="D1802" s="442"/>
      <c r="E1802" s="454">
        <v>67500</v>
      </c>
      <c r="F1802" s="451">
        <v>0</v>
      </c>
      <c r="G1802" s="459">
        <f t="shared" si="28"/>
        <v>0</v>
      </c>
    </row>
    <row r="1803" spans="1:7" ht="25.5">
      <c r="A1803" s="51" t="s">
        <v>1196</v>
      </c>
      <c r="B1803" s="442" t="s">
        <v>2253</v>
      </c>
      <c r="C1803" s="442" t="s">
        <v>1197</v>
      </c>
      <c r="D1803" s="442"/>
      <c r="E1803" s="454">
        <v>67500</v>
      </c>
      <c r="F1803" s="451">
        <v>0</v>
      </c>
      <c r="G1803" s="459">
        <f t="shared" si="28"/>
        <v>0</v>
      </c>
    </row>
    <row r="1804" spans="1:7">
      <c r="A1804" s="51" t="s">
        <v>183</v>
      </c>
      <c r="B1804" s="442" t="s">
        <v>2253</v>
      </c>
      <c r="C1804" s="442" t="s">
        <v>1197</v>
      </c>
      <c r="D1804" s="442" t="s">
        <v>1140</v>
      </c>
      <c r="E1804" s="454">
        <v>67500</v>
      </c>
      <c r="F1804" s="451">
        <v>0</v>
      </c>
      <c r="G1804" s="459">
        <f t="shared" si="28"/>
        <v>0</v>
      </c>
    </row>
    <row r="1805" spans="1:7">
      <c r="A1805" s="51" t="s">
        <v>145</v>
      </c>
      <c r="B1805" s="442" t="s">
        <v>2253</v>
      </c>
      <c r="C1805" s="442" t="s">
        <v>1197</v>
      </c>
      <c r="D1805" s="442" t="s">
        <v>360</v>
      </c>
      <c r="E1805" s="454">
        <v>67500</v>
      </c>
      <c r="F1805" s="451">
        <v>0</v>
      </c>
      <c r="G1805" s="459">
        <f t="shared" si="28"/>
        <v>0</v>
      </c>
    </row>
    <row r="1806" spans="1:7" ht="51">
      <c r="A1806" s="51" t="s">
        <v>680</v>
      </c>
      <c r="B1806" s="442" t="s">
        <v>681</v>
      </c>
      <c r="C1806" s="442"/>
      <c r="D1806" s="442"/>
      <c r="E1806" s="454">
        <v>54957</v>
      </c>
      <c r="F1806" s="451">
        <v>0</v>
      </c>
      <c r="G1806" s="459">
        <f t="shared" si="28"/>
        <v>0</v>
      </c>
    </row>
    <row r="1807" spans="1:7" ht="25.5">
      <c r="A1807" s="51" t="s">
        <v>1319</v>
      </c>
      <c r="B1807" s="442" t="s">
        <v>681</v>
      </c>
      <c r="C1807" s="442" t="s">
        <v>1320</v>
      </c>
      <c r="D1807" s="442"/>
      <c r="E1807" s="454">
        <v>54957</v>
      </c>
      <c r="F1807" s="451">
        <v>0</v>
      </c>
      <c r="G1807" s="459">
        <f t="shared" si="28"/>
        <v>0</v>
      </c>
    </row>
    <row r="1808" spans="1:7" ht="25.5">
      <c r="A1808" s="51" t="s">
        <v>1196</v>
      </c>
      <c r="B1808" s="442" t="s">
        <v>681</v>
      </c>
      <c r="C1808" s="442" t="s">
        <v>1197</v>
      </c>
      <c r="D1808" s="442"/>
      <c r="E1808" s="454">
        <v>54957</v>
      </c>
      <c r="F1808" s="451">
        <v>0</v>
      </c>
      <c r="G1808" s="459">
        <f t="shared" si="28"/>
        <v>0</v>
      </c>
    </row>
    <row r="1809" spans="1:8">
      <c r="A1809" s="51" t="s">
        <v>239</v>
      </c>
      <c r="B1809" s="444" t="s">
        <v>681</v>
      </c>
      <c r="C1809" s="444" t="s">
        <v>1197</v>
      </c>
      <c r="D1809" s="444" t="s">
        <v>1141</v>
      </c>
      <c r="E1809" s="455">
        <v>54957</v>
      </c>
      <c r="F1809" s="451">
        <v>0</v>
      </c>
      <c r="G1809" s="459">
        <f t="shared" si="28"/>
        <v>0</v>
      </c>
    </row>
    <row r="1810" spans="1:8">
      <c r="A1810" s="51" t="s">
        <v>146</v>
      </c>
      <c r="B1810" s="444" t="s">
        <v>681</v>
      </c>
      <c r="C1810" s="444" t="s">
        <v>1197</v>
      </c>
      <c r="D1810" s="444" t="s">
        <v>364</v>
      </c>
      <c r="E1810" s="455">
        <v>54957</v>
      </c>
      <c r="F1810" s="451">
        <v>0</v>
      </c>
      <c r="G1810" s="459">
        <f t="shared" si="28"/>
        <v>0</v>
      </c>
    </row>
    <row r="1811" spans="1:8">
      <c r="G1811" s="456"/>
      <c r="H1811" s="456"/>
    </row>
  </sheetData>
  <autoFilter ref="A5:E1810">
    <filterColumn colId="1"/>
    <filterColumn colId="4"/>
  </autoFilter>
  <mergeCells count="7">
    <mergeCell ref="F4:F5"/>
    <mergeCell ref="G4:G5"/>
    <mergeCell ref="A1:G1"/>
    <mergeCell ref="A2:G2"/>
    <mergeCell ref="A4:A5"/>
    <mergeCell ref="B4:D4"/>
    <mergeCell ref="E4:E5"/>
  </mergeCells>
  <pageMargins left="0.51181102362204722" right="0.11811023622047245" top="0.19685039370078741" bottom="0.19685039370078741" header="0.15748031496062992" footer="0.15748031496062992"/>
  <pageSetup paperSize="9" scale="75" orientation="portrait" r:id="rId1"/>
</worksheet>
</file>

<file path=xl/worksheets/sheet11.xml><?xml version="1.0" encoding="utf-8"?>
<worksheet xmlns="http://schemas.openxmlformats.org/spreadsheetml/2006/main" xmlns:r="http://schemas.openxmlformats.org/officeDocument/2006/relationships">
  <dimension ref="A1:F1277"/>
  <sheetViews>
    <sheetView workbookViewId="0">
      <pane xSplit="1" ySplit="6" topLeftCell="B7" activePane="bottomRight" state="frozen"/>
      <selection pane="topRight" activeCell="B1" sqref="B1"/>
      <selection pane="bottomLeft" activeCell="A7" sqref="A7"/>
      <selection pane="bottomRight" activeCell="H2" sqref="H2"/>
    </sheetView>
  </sheetViews>
  <sheetFormatPr defaultRowHeight="12.75"/>
  <cols>
    <col min="1" max="1" width="38.28515625" style="3" customWidth="1"/>
    <col min="2" max="2" width="11.5703125" style="128" customWidth="1"/>
    <col min="3" max="3" width="5.140625" style="3" customWidth="1"/>
    <col min="4" max="4" width="6.85546875" style="3" customWidth="1"/>
    <col min="5" max="5" width="16.7109375" style="3" customWidth="1"/>
    <col min="6" max="6" width="16.7109375" style="19" customWidth="1"/>
    <col min="7" max="16384" width="9.140625" style="3"/>
  </cols>
  <sheetData>
    <row r="1" spans="1:6" ht="48.75" customHeight="1">
      <c r="A1" s="485" t="str">
        <f>"Приложение №"&amp;Н2цср1&amp;"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85"/>
      <c r="C1" s="485"/>
      <c r="D1" s="485"/>
      <c r="E1" s="485"/>
      <c r="F1" s="485"/>
    </row>
    <row r="2" spans="1:6" ht="47.25" customHeight="1">
      <c r="A2" s="485" t="str">
        <f>"Приложение "&amp;Н1цср1&amp;" к решению
Богучанского районного Совета депутатов
от "&amp;Р1дата&amp;" года №"&amp;Р1номер</f>
        <v>Приложение  к решению
Богучанского районного Совета депутатов
от  года №</v>
      </c>
      <c r="B2" s="485"/>
      <c r="C2" s="485"/>
      <c r="D2" s="485"/>
      <c r="E2" s="485"/>
      <c r="F2" s="485"/>
    </row>
    <row r="3" spans="1:6" ht="100.5" customHeight="1">
      <c r="A3" s="484" t="s">
        <v>1884</v>
      </c>
      <c r="B3" s="484"/>
      <c r="C3" s="484"/>
      <c r="D3" s="484"/>
      <c r="E3" s="484"/>
      <c r="F3" s="484"/>
    </row>
    <row r="4" spans="1:6">
      <c r="F4" s="8" t="s">
        <v>69</v>
      </c>
    </row>
    <row r="5" spans="1:6" ht="12.75" customHeight="1">
      <c r="A5" s="513" t="s">
        <v>1335</v>
      </c>
      <c r="B5" s="521" t="s">
        <v>177</v>
      </c>
      <c r="C5" s="524"/>
      <c r="D5" s="522"/>
      <c r="E5" s="520" t="s">
        <v>1741</v>
      </c>
      <c r="F5" s="520" t="s">
        <v>1837</v>
      </c>
    </row>
    <row r="6" spans="1:6" ht="51">
      <c r="A6" s="514"/>
      <c r="B6" s="122" t="s">
        <v>1333</v>
      </c>
      <c r="C6" s="250" t="s">
        <v>1334</v>
      </c>
      <c r="D6" s="250" t="s">
        <v>1337</v>
      </c>
      <c r="E6" s="520"/>
      <c r="F6" s="520"/>
    </row>
    <row r="7" spans="1:6" s="11" customFormat="1">
      <c r="A7" s="318" t="s">
        <v>637</v>
      </c>
      <c r="B7" s="319" t="s">
        <v>1173</v>
      </c>
      <c r="C7" s="319" t="s">
        <v>1173</v>
      </c>
      <c r="D7" s="319" t="s">
        <v>1173</v>
      </c>
      <c r="E7" s="320">
        <f>2341736603.34+30000000</f>
        <v>2371736603.3400002</v>
      </c>
      <c r="F7" s="320">
        <f>2296899854.25+63000000</f>
        <v>2359899854.25</v>
      </c>
    </row>
    <row r="8" spans="1:6" ht="25.5">
      <c r="A8" s="318" t="s">
        <v>442</v>
      </c>
      <c r="B8" s="319" t="s">
        <v>971</v>
      </c>
      <c r="C8" s="319" t="s">
        <v>1173</v>
      </c>
      <c r="D8" s="319" t="s">
        <v>1173</v>
      </c>
      <c r="E8" s="320">
        <v>1467565800</v>
      </c>
      <c r="F8" s="320">
        <v>1408897800</v>
      </c>
    </row>
    <row r="9" spans="1:6" ht="38.25">
      <c r="A9" s="318" t="s">
        <v>443</v>
      </c>
      <c r="B9" s="319" t="s">
        <v>972</v>
      </c>
      <c r="C9" s="319" t="s">
        <v>1173</v>
      </c>
      <c r="D9" s="319" t="s">
        <v>1173</v>
      </c>
      <c r="E9" s="320">
        <v>1383485520</v>
      </c>
      <c r="F9" s="320">
        <v>1323153320</v>
      </c>
    </row>
    <row r="10" spans="1:6" ht="153">
      <c r="A10" s="318" t="s">
        <v>410</v>
      </c>
      <c r="B10" s="319" t="s">
        <v>742</v>
      </c>
      <c r="C10" s="319" t="s">
        <v>1173</v>
      </c>
      <c r="D10" s="319" t="s">
        <v>1173</v>
      </c>
      <c r="E10" s="320">
        <v>48626048</v>
      </c>
      <c r="F10" s="320">
        <v>48626048</v>
      </c>
    </row>
    <row r="11" spans="1:6" ht="76.5">
      <c r="A11" s="318" t="s">
        <v>1318</v>
      </c>
      <c r="B11" s="319" t="s">
        <v>742</v>
      </c>
      <c r="C11" s="319" t="s">
        <v>273</v>
      </c>
      <c r="D11" s="319" t="s">
        <v>1173</v>
      </c>
      <c r="E11" s="320">
        <v>29328895</v>
      </c>
      <c r="F11" s="320">
        <v>29328895</v>
      </c>
    </row>
    <row r="12" spans="1:6" ht="25.5">
      <c r="A12" s="318" t="s">
        <v>1190</v>
      </c>
      <c r="B12" s="319" t="s">
        <v>742</v>
      </c>
      <c r="C12" s="319" t="s">
        <v>133</v>
      </c>
      <c r="D12" s="319" t="s">
        <v>1173</v>
      </c>
      <c r="E12" s="320">
        <v>29328895</v>
      </c>
      <c r="F12" s="320">
        <v>29328895</v>
      </c>
    </row>
    <row r="13" spans="1:6">
      <c r="A13" s="318" t="s">
        <v>140</v>
      </c>
      <c r="B13" s="319" t="s">
        <v>742</v>
      </c>
      <c r="C13" s="319" t="s">
        <v>133</v>
      </c>
      <c r="D13" s="319" t="s">
        <v>1142</v>
      </c>
      <c r="E13" s="320">
        <v>29328895</v>
      </c>
      <c r="F13" s="320">
        <v>29328895</v>
      </c>
    </row>
    <row r="14" spans="1:6">
      <c r="A14" s="318" t="s">
        <v>152</v>
      </c>
      <c r="B14" s="319" t="s">
        <v>742</v>
      </c>
      <c r="C14" s="319" t="s">
        <v>133</v>
      </c>
      <c r="D14" s="319" t="s">
        <v>408</v>
      </c>
      <c r="E14" s="320">
        <v>29328895</v>
      </c>
      <c r="F14" s="320">
        <v>29328895</v>
      </c>
    </row>
    <row r="15" spans="1:6" ht="38.25">
      <c r="A15" s="318" t="s">
        <v>1319</v>
      </c>
      <c r="B15" s="319" t="s">
        <v>742</v>
      </c>
      <c r="C15" s="319" t="s">
        <v>1320</v>
      </c>
      <c r="D15" s="319" t="s">
        <v>1173</v>
      </c>
      <c r="E15" s="320">
        <v>19237153</v>
      </c>
      <c r="F15" s="320">
        <v>19237153</v>
      </c>
    </row>
    <row r="16" spans="1:6" ht="38.25">
      <c r="A16" s="318" t="s">
        <v>1196</v>
      </c>
      <c r="B16" s="319" t="s">
        <v>742</v>
      </c>
      <c r="C16" s="319" t="s">
        <v>1197</v>
      </c>
      <c r="D16" s="319" t="s">
        <v>1173</v>
      </c>
      <c r="E16" s="320">
        <v>19237153</v>
      </c>
      <c r="F16" s="320">
        <v>19237153</v>
      </c>
    </row>
    <row r="17" spans="1:6">
      <c r="A17" s="318" t="s">
        <v>140</v>
      </c>
      <c r="B17" s="319" t="s">
        <v>742</v>
      </c>
      <c r="C17" s="319" t="s">
        <v>1197</v>
      </c>
      <c r="D17" s="319" t="s">
        <v>1142</v>
      </c>
      <c r="E17" s="320">
        <v>19237153</v>
      </c>
      <c r="F17" s="320">
        <v>19237153</v>
      </c>
    </row>
    <row r="18" spans="1:6">
      <c r="A18" s="318" t="s">
        <v>152</v>
      </c>
      <c r="B18" s="319" t="s">
        <v>742</v>
      </c>
      <c r="C18" s="319" t="s">
        <v>1197</v>
      </c>
      <c r="D18" s="319" t="s">
        <v>408</v>
      </c>
      <c r="E18" s="320">
        <v>19237153</v>
      </c>
      <c r="F18" s="320">
        <v>19237153</v>
      </c>
    </row>
    <row r="19" spans="1:6">
      <c r="A19" s="318" t="s">
        <v>1321</v>
      </c>
      <c r="B19" s="319" t="s">
        <v>742</v>
      </c>
      <c r="C19" s="319" t="s">
        <v>1322</v>
      </c>
      <c r="D19" s="319" t="s">
        <v>1173</v>
      </c>
      <c r="E19" s="320">
        <v>60000</v>
      </c>
      <c r="F19" s="320">
        <v>60000</v>
      </c>
    </row>
    <row r="20" spans="1:6">
      <c r="A20" s="318" t="s">
        <v>1201</v>
      </c>
      <c r="B20" s="319" t="s">
        <v>742</v>
      </c>
      <c r="C20" s="319" t="s">
        <v>1202</v>
      </c>
      <c r="D20" s="319" t="s">
        <v>1173</v>
      </c>
      <c r="E20" s="320">
        <v>60000</v>
      </c>
      <c r="F20" s="320">
        <v>60000</v>
      </c>
    </row>
    <row r="21" spans="1:6">
      <c r="A21" s="318" t="s">
        <v>140</v>
      </c>
      <c r="B21" s="319" t="s">
        <v>742</v>
      </c>
      <c r="C21" s="319" t="s">
        <v>1202</v>
      </c>
      <c r="D21" s="319" t="s">
        <v>1142</v>
      </c>
      <c r="E21" s="320">
        <v>60000</v>
      </c>
      <c r="F21" s="320">
        <v>60000</v>
      </c>
    </row>
    <row r="22" spans="1:6">
      <c r="A22" s="318" t="s">
        <v>152</v>
      </c>
      <c r="B22" s="319" t="s">
        <v>742</v>
      </c>
      <c r="C22" s="319" t="s">
        <v>1202</v>
      </c>
      <c r="D22" s="319" t="s">
        <v>408</v>
      </c>
      <c r="E22" s="320">
        <v>60000</v>
      </c>
      <c r="F22" s="320">
        <v>60000</v>
      </c>
    </row>
    <row r="23" spans="1:6" ht="165.75">
      <c r="A23" s="318" t="s">
        <v>413</v>
      </c>
      <c r="B23" s="319" t="s">
        <v>750</v>
      </c>
      <c r="C23" s="319" t="s">
        <v>1173</v>
      </c>
      <c r="D23" s="319" t="s">
        <v>1173</v>
      </c>
      <c r="E23" s="320">
        <v>70953272</v>
      </c>
      <c r="F23" s="320">
        <v>70893372</v>
      </c>
    </row>
    <row r="24" spans="1:6" ht="76.5">
      <c r="A24" s="318" t="s">
        <v>1318</v>
      </c>
      <c r="B24" s="319" t="s">
        <v>750</v>
      </c>
      <c r="C24" s="319" t="s">
        <v>273</v>
      </c>
      <c r="D24" s="319" t="s">
        <v>1173</v>
      </c>
      <c r="E24" s="320">
        <v>45933072</v>
      </c>
      <c r="F24" s="320">
        <v>45933072</v>
      </c>
    </row>
    <row r="25" spans="1:6" ht="25.5">
      <c r="A25" s="318" t="s">
        <v>1190</v>
      </c>
      <c r="B25" s="319" t="s">
        <v>750</v>
      </c>
      <c r="C25" s="319" t="s">
        <v>133</v>
      </c>
      <c r="D25" s="319" t="s">
        <v>1173</v>
      </c>
      <c r="E25" s="320">
        <v>45933072</v>
      </c>
      <c r="F25" s="320">
        <v>45933072</v>
      </c>
    </row>
    <row r="26" spans="1:6">
      <c r="A26" s="318" t="s">
        <v>140</v>
      </c>
      <c r="B26" s="319" t="s">
        <v>750</v>
      </c>
      <c r="C26" s="319" t="s">
        <v>133</v>
      </c>
      <c r="D26" s="319" t="s">
        <v>1142</v>
      </c>
      <c r="E26" s="320">
        <v>45933072</v>
      </c>
      <c r="F26" s="320">
        <v>45933072</v>
      </c>
    </row>
    <row r="27" spans="1:6">
      <c r="A27" s="318" t="s">
        <v>153</v>
      </c>
      <c r="B27" s="319" t="s">
        <v>750</v>
      </c>
      <c r="C27" s="319" t="s">
        <v>133</v>
      </c>
      <c r="D27" s="319" t="s">
        <v>395</v>
      </c>
      <c r="E27" s="320">
        <v>45933072</v>
      </c>
      <c r="F27" s="320">
        <v>45933072</v>
      </c>
    </row>
    <row r="28" spans="1:6" ht="38.25">
      <c r="A28" s="318" t="s">
        <v>1319</v>
      </c>
      <c r="B28" s="319" t="s">
        <v>750</v>
      </c>
      <c r="C28" s="319" t="s">
        <v>1320</v>
      </c>
      <c r="D28" s="319" t="s">
        <v>1173</v>
      </c>
      <c r="E28" s="320">
        <v>25020200</v>
      </c>
      <c r="F28" s="320">
        <v>24960300</v>
      </c>
    </row>
    <row r="29" spans="1:6" ht="38.25">
      <c r="A29" s="318" t="s">
        <v>1196</v>
      </c>
      <c r="B29" s="319" t="s">
        <v>750</v>
      </c>
      <c r="C29" s="319" t="s">
        <v>1197</v>
      </c>
      <c r="D29" s="319" t="s">
        <v>1173</v>
      </c>
      <c r="E29" s="320">
        <v>25020200</v>
      </c>
      <c r="F29" s="320">
        <v>24960300</v>
      </c>
    </row>
    <row r="30" spans="1:6">
      <c r="A30" s="318" t="s">
        <v>140</v>
      </c>
      <c r="B30" s="319" t="s">
        <v>750</v>
      </c>
      <c r="C30" s="319" t="s">
        <v>1197</v>
      </c>
      <c r="D30" s="319" t="s">
        <v>1142</v>
      </c>
      <c r="E30" s="320">
        <v>25020200</v>
      </c>
      <c r="F30" s="320">
        <v>24960300</v>
      </c>
    </row>
    <row r="31" spans="1:6">
      <c r="A31" s="318" t="s">
        <v>153</v>
      </c>
      <c r="B31" s="319" t="s">
        <v>750</v>
      </c>
      <c r="C31" s="319" t="s">
        <v>1197</v>
      </c>
      <c r="D31" s="319" t="s">
        <v>395</v>
      </c>
      <c r="E31" s="320">
        <v>25020200</v>
      </c>
      <c r="F31" s="320">
        <v>24960300</v>
      </c>
    </row>
    <row r="32" spans="1:6" ht="153">
      <c r="A32" s="318" t="s">
        <v>414</v>
      </c>
      <c r="B32" s="319" t="s">
        <v>754</v>
      </c>
      <c r="C32" s="319" t="s">
        <v>1173</v>
      </c>
      <c r="D32" s="319" t="s">
        <v>1173</v>
      </c>
      <c r="E32" s="320">
        <v>2806000</v>
      </c>
      <c r="F32" s="320">
        <v>2806000</v>
      </c>
    </row>
    <row r="33" spans="1:6" ht="38.25">
      <c r="A33" s="318" t="s">
        <v>1327</v>
      </c>
      <c r="B33" s="319" t="s">
        <v>754</v>
      </c>
      <c r="C33" s="319" t="s">
        <v>1328</v>
      </c>
      <c r="D33" s="319" t="s">
        <v>1173</v>
      </c>
      <c r="E33" s="320">
        <v>2806000</v>
      </c>
      <c r="F33" s="320">
        <v>2806000</v>
      </c>
    </row>
    <row r="34" spans="1:6">
      <c r="A34" s="318" t="s">
        <v>1198</v>
      </c>
      <c r="B34" s="319" t="s">
        <v>754</v>
      </c>
      <c r="C34" s="319" t="s">
        <v>1199</v>
      </c>
      <c r="D34" s="319" t="s">
        <v>1173</v>
      </c>
      <c r="E34" s="320">
        <v>2806000</v>
      </c>
      <c r="F34" s="320">
        <v>2806000</v>
      </c>
    </row>
    <row r="35" spans="1:6">
      <c r="A35" s="318" t="s">
        <v>140</v>
      </c>
      <c r="B35" s="319" t="s">
        <v>754</v>
      </c>
      <c r="C35" s="319" t="s">
        <v>1199</v>
      </c>
      <c r="D35" s="319" t="s">
        <v>1142</v>
      </c>
      <c r="E35" s="320">
        <v>2806000</v>
      </c>
      <c r="F35" s="320">
        <v>2806000</v>
      </c>
    </row>
    <row r="36" spans="1:6">
      <c r="A36" s="318" t="s">
        <v>1077</v>
      </c>
      <c r="B36" s="319" t="s">
        <v>754</v>
      </c>
      <c r="C36" s="319" t="s">
        <v>1199</v>
      </c>
      <c r="D36" s="319" t="s">
        <v>1078</v>
      </c>
      <c r="E36" s="320">
        <v>2806000</v>
      </c>
      <c r="F36" s="320">
        <v>2806000</v>
      </c>
    </row>
    <row r="37" spans="1:6" ht="153">
      <c r="A37" s="318" t="s">
        <v>1786</v>
      </c>
      <c r="B37" s="319" t="s">
        <v>1787</v>
      </c>
      <c r="C37" s="319" t="s">
        <v>1173</v>
      </c>
      <c r="D37" s="319" t="s">
        <v>1173</v>
      </c>
      <c r="E37" s="320">
        <v>17743500</v>
      </c>
      <c r="F37" s="320">
        <v>17743500</v>
      </c>
    </row>
    <row r="38" spans="1:6" ht="38.25">
      <c r="A38" s="318" t="s">
        <v>1327</v>
      </c>
      <c r="B38" s="319" t="s">
        <v>1787</v>
      </c>
      <c r="C38" s="319" t="s">
        <v>1328</v>
      </c>
      <c r="D38" s="319" t="s">
        <v>1173</v>
      </c>
      <c r="E38" s="320">
        <v>17743500</v>
      </c>
      <c r="F38" s="320">
        <v>17743500</v>
      </c>
    </row>
    <row r="39" spans="1:6">
      <c r="A39" s="318" t="s">
        <v>1198</v>
      </c>
      <c r="B39" s="319" t="s">
        <v>1787</v>
      </c>
      <c r="C39" s="319" t="s">
        <v>1199</v>
      </c>
      <c r="D39" s="319" t="s">
        <v>1173</v>
      </c>
      <c r="E39" s="320">
        <v>17743500</v>
      </c>
      <c r="F39" s="320">
        <v>17743500</v>
      </c>
    </row>
    <row r="40" spans="1:6">
      <c r="A40" s="318" t="s">
        <v>140</v>
      </c>
      <c r="B40" s="319" t="s">
        <v>1787</v>
      </c>
      <c r="C40" s="319" t="s">
        <v>1199</v>
      </c>
      <c r="D40" s="319" t="s">
        <v>1142</v>
      </c>
      <c r="E40" s="320">
        <v>16375400</v>
      </c>
      <c r="F40" s="320">
        <v>16375400</v>
      </c>
    </row>
    <row r="41" spans="1:6">
      <c r="A41" s="318" t="s">
        <v>1077</v>
      </c>
      <c r="B41" s="319" t="s">
        <v>1787</v>
      </c>
      <c r="C41" s="319" t="s">
        <v>1199</v>
      </c>
      <c r="D41" s="319" t="s">
        <v>1078</v>
      </c>
      <c r="E41" s="320">
        <v>16375400</v>
      </c>
      <c r="F41" s="320">
        <v>16375400</v>
      </c>
    </row>
    <row r="42" spans="1:6">
      <c r="A42" s="318" t="s">
        <v>248</v>
      </c>
      <c r="B42" s="319" t="s">
        <v>1787</v>
      </c>
      <c r="C42" s="319" t="s">
        <v>1199</v>
      </c>
      <c r="D42" s="319" t="s">
        <v>1144</v>
      </c>
      <c r="E42" s="320">
        <v>1368100</v>
      </c>
      <c r="F42" s="320">
        <v>1368100</v>
      </c>
    </row>
    <row r="43" spans="1:6">
      <c r="A43" s="318" t="s">
        <v>1228</v>
      </c>
      <c r="B43" s="319" t="s">
        <v>1787</v>
      </c>
      <c r="C43" s="319" t="s">
        <v>1199</v>
      </c>
      <c r="D43" s="319" t="s">
        <v>1229</v>
      </c>
      <c r="E43" s="320">
        <v>1368100</v>
      </c>
      <c r="F43" s="320">
        <v>1368100</v>
      </c>
    </row>
    <row r="44" spans="1:6" ht="204">
      <c r="A44" s="318" t="s">
        <v>1474</v>
      </c>
      <c r="B44" s="319" t="s">
        <v>1475</v>
      </c>
      <c r="C44" s="319" t="s">
        <v>1173</v>
      </c>
      <c r="D44" s="319" t="s">
        <v>1173</v>
      </c>
      <c r="E44" s="320">
        <v>651000</v>
      </c>
      <c r="F44" s="320">
        <v>651000</v>
      </c>
    </row>
    <row r="45" spans="1:6" ht="38.25">
      <c r="A45" s="318" t="s">
        <v>1327</v>
      </c>
      <c r="B45" s="319" t="s">
        <v>1475</v>
      </c>
      <c r="C45" s="319" t="s">
        <v>1328</v>
      </c>
      <c r="D45" s="319" t="s">
        <v>1173</v>
      </c>
      <c r="E45" s="320">
        <v>651000</v>
      </c>
      <c r="F45" s="320">
        <v>651000</v>
      </c>
    </row>
    <row r="46" spans="1:6">
      <c r="A46" s="318" t="s">
        <v>1198</v>
      </c>
      <c r="B46" s="319" t="s">
        <v>1475</v>
      </c>
      <c r="C46" s="319" t="s">
        <v>1199</v>
      </c>
      <c r="D46" s="319" t="s">
        <v>1173</v>
      </c>
      <c r="E46" s="320">
        <v>651000</v>
      </c>
      <c r="F46" s="320">
        <v>651000</v>
      </c>
    </row>
    <row r="47" spans="1:6">
      <c r="A47" s="318" t="s">
        <v>140</v>
      </c>
      <c r="B47" s="319" t="s">
        <v>1475</v>
      </c>
      <c r="C47" s="319" t="s">
        <v>1199</v>
      </c>
      <c r="D47" s="319" t="s">
        <v>1142</v>
      </c>
      <c r="E47" s="320">
        <v>651000</v>
      </c>
      <c r="F47" s="320">
        <v>651000</v>
      </c>
    </row>
    <row r="48" spans="1:6">
      <c r="A48" s="318" t="s">
        <v>1077</v>
      </c>
      <c r="B48" s="319" t="s">
        <v>1475</v>
      </c>
      <c r="C48" s="319" t="s">
        <v>1199</v>
      </c>
      <c r="D48" s="319" t="s">
        <v>1078</v>
      </c>
      <c r="E48" s="320">
        <v>651000</v>
      </c>
      <c r="F48" s="320">
        <v>651000</v>
      </c>
    </row>
    <row r="49" spans="1:6" ht="229.5">
      <c r="A49" s="318" t="s">
        <v>1476</v>
      </c>
      <c r="B49" s="319" t="s">
        <v>1477</v>
      </c>
      <c r="C49" s="319" t="s">
        <v>1173</v>
      </c>
      <c r="D49" s="319" t="s">
        <v>1173</v>
      </c>
      <c r="E49" s="320">
        <v>1411400</v>
      </c>
      <c r="F49" s="320">
        <v>1411400</v>
      </c>
    </row>
    <row r="50" spans="1:6" ht="38.25">
      <c r="A50" s="318" t="s">
        <v>1327</v>
      </c>
      <c r="B50" s="319" t="s">
        <v>1477</v>
      </c>
      <c r="C50" s="319" t="s">
        <v>1328</v>
      </c>
      <c r="D50" s="319" t="s">
        <v>1173</v>
      </c>
      <c r="E50" s="320">
        <v>1411400</v>
      </c>
      <c r="F50" s="320">
        <v>1411400</v>
      </c>
    </row>
    <row r="51" spans="1:6">
      <c r="A51" s="318" t="s">
        <v>1198</v>
      </c>
      <c r="B51" s="319" t="s">
        <v>1477</v>
      </c>
      <c r="C51" s="319" t="s">
        <v>1199</v>
      </c>
      <c r="D51" s="319" t="s">
        <v>1173</v>
      </c>
      <c r="E51" s="320">
        <v>1411400</v>
      </c>
      <c r="F51" s="320">
        <v>1411400</v>
      </c>
    </row>
    <row r="52" spans="1:6">
      <c r="A52" s="318" t="s">
        <v>140</v>
      </c>
      <c r="B52" s="319" t="s">
        <v>1477</v>
      </c>
      <c r="C52" s="319" t="s">
        <v>1199</v>
      </c>
      <c r="D52" s="319" t="s">
        <v>1142</v>
      </c>
      <c r="E52" s="320">
        <v>1411400</v>
      </c>
      <c r="F52" s="320">
        <v>1411400</v>
      </c>
    </row>
    <row r="53" spans="1:6">
      <c r="A53" s="318" t="s">
        <v>1077</v>
      </c>
      <c r="B53" s="319" t="s">
        <v>1477</v>
      </c>
      <c r="C53" s="319" t="s">
        <v>1199</v>
      </c>
      <c r="D53" s="319" t="s">
        <v>1078</v>
      </c>
      <c r="E53" s="320">
        <v>1411400</v>
      </c>
      <c r="F53" s="320">
        <v>1411400</v>
      </c>
    </row>
    <row r="54" spans="1:6" ht="153">
      <c r="A54" s="318" t="s">
        <v>417</v>
      </c>
      <c r="B54" s="319" t="s">
        <v>767</v>
      </c>
      <c r="C54" s="319" t="s">
        <v>1173</v>
      </c>
      <c r="D54" s="319" t="s">
        <v>1173</v>
      </c>
      <c r="E54" s="320">
        <v>1008000</v>
      </c>
      <c r="F54" s="320">
        <v>1008000</v>
      </c>
    </row>
    <row r="55" spans="1:6" ht="38.25">
      <c r="A55" s="318" t="s">
        <v>1327</v>
      </c>
      <c r="B55" s="319" t="s">
        <v>767</v>
      </c>
      <c r="C55" s="319" t="s">
        <v>1328</v>
      </c>
      <c r="D55" s="319" t="s">
        <v>1173</v>
      </c>
      <c r="E55" s="320">
        <v>1008000</v>
      </c>
      <c r="F55" s="320">
        <v>1008000</v>
      </c>
    </row>
    <row r="56" spans="1:6">
      <c r="A56" s="318" t="s">
        <v>1198</v>
      </c>
      <c r="B56" s="319" t="s">
        <v>767</v>
      </c>
      <c r="C56" s="319" t="s">
        <v>1199</v>
      </c>
      <c r="D56" s="319" t="s">
        <v>1173</v>
      </c>
      <c r="E56" s="320">
        <v>1008000</v>
      </c>
      <c r="F56" s="320">
        <v>1008000</v>
      </c>
    </row>
    <row r="57" spans="1:6">
      <c r="A57" s="318" t="s">
        <v>140</v>
      </c>
      <c r="B57" s="319" t="s">
        <v>767</v>
      </c>
      <c r="C57" s="319" t="s">
        <v>1199</v>
      </c>
      <c r="D57" s="319" t="s">
        <v>1142</v>
      </c>
      <c r="E57" s="320">
        <v>1008000</v>
      </c>
      <c r="F57" s="320">
        <v>1008000</v>
      </c>
    </row>
    <row r="58" spans="1:6">
      <c r="A58" s="318" t="s">
        <v>1075</v>
      </c>
      <c r="B58" s="319" t="s">
        <v>767</v>
      </c>
      <c r="C58" s="319" t="s">
        <v>1199</v>
      </c>
      <c r="D58" s="319" t="s">
        <v>365</v>
      </c>
      <c r="E58" s="320">
        <v>1008000</v>
      </c>
      <c r="F58" s="320">
        <v>1008000</v>
      </c>
    </row>
    <row r="59" spans="1:6" ht="204">
      <c r="A59" s="318" t="s">
        <v>572</v>
      </c>
      <c r="B59" s="319" t="s">
        <v>743</v>
      </c>
      <c r="C59" s="319" t="s">
        <v>1173</v>
      </c>
      <c r="D59" s="319" t="s">
        <v>1173</v>
      </c>
      <c r="E59" s="320">
        <v>48282846</v>
      </c>
      <c r="F59" s="320">
        <v>48282846</v>
      </c>
    </row>
    <row r="60" spans="1:6" ht="76.5">
      <c r="A60" s="318" t="s">
        <v>1318</v>
      </c>
      <c r="B60" s="319" t="s">
        <v>743</v>
      </c>
      <c r="C60" s="319" t="s">
        <v>273</v>
      </c>
      <c r="D60" s="319" t="s">
        <v>1173</v>
      </c>
      <c r="E60" s="320">
        <v>48282846</v>
      </c>
      <c r="F60" s="320">
        <v>48282846</v>
      </c>
    </row>
    <row r="61" spans="1:6" ht="25.5">
      <c r="A61" s="318" t="s">
        <v>1190</v>
      </c>
      <c r="B61" s="319" t="s">
        <v>743</v>
      </c>
      <c r="C61" s="319" t="s">
        <v>133</v>
      </c>
      <c r="D61" s="319" t="s">
        <v>1173</v>
      </c>
      <c r="E61" s="320">
        <v>48282846</v>
      </c>
      <c r="F61" s="320">
        <v>48282846</v>
      </c>
    </row>
    <row r="62" spans="1:6">
      <c r="A62" s="318" t="s">
        <v>140</v>
      </c>
      <c r="B62" s="319" t="s">
        <v>743</v>
      </c>
      <c r="C62" s="319" t="s">
        <v>133</v>
      </c>
      <c r="D62" s="319" t="s">
        <v>1142</v>
      </c>
      <c r="E62" s="320">
        <v>48282846</v>
      </c>
      <c r="F62" s="320">
        <v>48282846</v>
      </c>
    </row>
    <row r="63" spans="1:6">
      <c r="A63" s="318" t="s">
        <v>152</v>
      </c>
      <c r="B63" s="319" t="s">
        <v>743</v>
      </c>
      <c r="C63" s="319" t="s">
        <v>133</v>
      </c>
      <c r="D63" s="319" t="s">
        <v>408</v>
      </c>
      <c r="E63" s="320">
        <v>48282846</v>
      </c>
      <c r="F63" s="320">
        <v>48282846</v>
      </c>
    </row>
    <row r="64" spans="1:6" ht="216.75">
      <c r="A64" s="318" t="s">
        <v>415</v>
      </c>
      <c r="B64" s="319" t="s">
        <v>751</v>
      </c>
      <c r="C64" s="319" t="s">
        <v>1173</v>
      </c>
      <c r="D64" s="319" t="s">
        <v>1173</v>
      </c>
      <c r="E64" s="320">
        <v>69561954</v>
      </c>
      <c r="F64" s="320">
        <v>69561954</v>
      </c>
    </row>
    <row r="65" spans="1:6" ht="76.5">
      <c r="A65" s="318" t="s">
        <v>1318</v>
      </c>
      <c r="B65" s="319" t="s">
        <v>751</v>
      </c>
      <c r="C65" s="319" t="s">
        <v>273</v>
      </c>
      <c r="D65" s="319" t="s">
        <v>1173</v>
      </c>
      <c r="E65" s="320">
        <v>69561954</v>
      </c>
      <c r="F65" s="320">
        <v>69561954</v>
      </c>
    </row>
    <row r="66" spans="1:6" ht="25.5">
      <c r="A66" s="318" t="s">
        <v>1190</v>
      </c>
      <c r="B66" s="319" t="s">
        <v>751</v>
      </c>
      <c r="C66" s="319" t="s">
        <v>133</v>
      </c>
      <c r="D66" s="319" t="s">
        <v>1173</v>
      </c>
      <c r="E66" s="320">
        <v>69561954</v>
      </c>
      <c r="F66" s="320">
        <v>69561954</v>
      </c>
    </row>
    <row r="67" spans="1:6">
      <c r="A67" s="318" t="s">
        <v>140</v>
      </c>
      <c r="B67" s="319" t="s">
        <v>751</v>
      </c>
      <c r="C67" s="319" t="s">
        <v>133</v>
      </c>
      <c r="D67" s="319" t="s">
        <v>1142</v>
      </c>
      <c r="E67" s="320">
        <v>69561954</v>
      </c>
      <c r="F67" s="320">
        <v>69561954</v>
      </c>
    </row>
    <row r="68" spans="1:6">
      <c r="A68" s="318" t="s">
        <v>153</v>
      </c>
      <c r="B68" s="319" t="s">
        <v>751</v>
      </c>
      <c r="C68" s="319" t="s">
        <v>133</v>
      </c>
      <c r="D68" s="319" t="s">
        <v>395</v>
      </c>
      <c r="E68" s="320">
        <v>69561954</v>
      </c>
      <c r="F68" s="320">
        <v>69561954</v>
      </c>
    </row>
    <row r="69" spans="1:6" ht="204">
      <c r="A69" s="318" t="s">
        <v>576</v>
      </c>
      <c r="B69" s="319" t="s">
        <v>755</v>
      </c>
      <c r="C69" s="319" t="s">
        <v>1173</v>
      </c>
      <c r="D69" s="319" t="s">
        <v>1173</v>
      </c>
      <c r="E69" s="320">
        <v>4551000</v>
      </c>
      <c r="F69" s="320">
        <v>4551000</v>
      </c>
    </row>
    <row r="70" spans="1:6" ht="38.25">
      <c r="A70" s="318" t="s">
        <v>1327</v>
      </c>
      <c r="B70" s="319" t="s">
        <v>755</v>
      </c>
      <c r="C70" s="319" t="s">
        <v>1328</v>
      </c>
      <c r="D70" s="319" t="s">
        <v>1173</v>
      </c>
      <c r="E70" s="320">
        <v>4551000</v>
      </c>
      <c r="F70" s="320">
        <v>4551000</v>
      </c>
    </row>
    <row r="71" spans="1:6">
      <c r="A71" s="318" t="s">
        <v>1198</v>
      </c>
      <c r="B71" s="319" t="s">
        <v>755</v>
      </c>
      <c r="C71" s="319" t="s">
        <v>1199</v>
      </c>
      <c r="D71" s="319" t="s">
        <v>1173</v>
      </c>
      <c r="E71" s="320">
        <v>4551000</v>
      </c>
      <c r="F71" s="320">
        <v>4551000</v>
      </c>
    </row>
    <row r="72" spans="1:6">
      <c r="A72" s="318" t="s">
        <v>140</v>
      </c>
      <c r="B72" s="319" t="s">
        <v>755</v>
      </c>
      <c r="C72" s="319" t="s">
        <v>1199</v>
      </c>
      <c r="D72" s="319" t="s">
        <v>1142</v>
      </c>
      <c r="E72" s="320">
        <v>4551000</v>
      </c>
      <c r="F72" s="320">
        <v>4551000</v>
      </c>
    </row>
    <row r="73" spans="1:6">
      <c r="A73" s="318" t="s">
        <v>1077</v>
      </c>
      <c r="B73" s="319" t="s">
        <v>755</v>
      </c>
      <c r="C73" s="319" t="s">
        <v>1199</v>
      </c>
      <c r="D73" s="319" t="s">
        <v>1078</v>
      </c>
      <c r="E73" s="320">
        <v>4551000</v>
      </c>
      <c r="F73" s="320">
        <v>4551000</v>
      </c>
    </row>
    <row r="74" spans="1:6" ht="204">
      <c r="A74" s="318" t="s">
        <v>418</v>
      </c>
      <c r="B74" s="319" t="s">
        <v>768</v>
      </c>
      <c r="C74" s="319" t="s">
        <v>1173</v>
      </c>
      <c r="D74" s="319" t="s">
        <v>1173</v>
      </c>
      <c r="E74" s="320">
        <v>850000</v>
      </c>
      <c r="F74" s="320">
        <v>850000</v>
      </c>
    </row>
    <row r="75" spans="1:6" ht="38.25">
      <c r="A75" s="318" t="s">
        <v>1327</v>
      </c>
      <c r="B75" s="319" t="s">
        <v>768</v>
      </c>
      <c r="C75" s="319" t="s">
        <v>1328</v>
      </c>
      <c r="D75" s="319" t="s">
        <v>1173</v>
      </c>
      <c r="E75" s="320">
        <v>850000</v>
      </c>
      <c r="F75" s="320">
        <v>850000</v>
      </c>
    </row>
    <row r="76" spans="1:6">
      <c r="A76" s="318" t="s">
        <v>1198</v>
      </c>
      <c r="B76" s="319" t="s">
        <v>768</v>
      </c>
      <c r="C76" s="319" t="s">
        <v>1199</v>
      </c>
      <c r="D76" s="319" t="s">
        <v>1173</v>
      </c>
      <c r="E76" s="320">
        <v>850000</v>
      </c>
      <c r="F76" s="320">
        <v>850000</v>
      </c>
    </row>
    <row r="77" spans="1:6">
      <c r="A77" s="318" t="s">
        <v>140</v>
      </c>
      <c r="B77" s="319" t="s">
        <v>768</v>
      </c>
      <c r="C77" s="319" t="s">
        <v>1199</v>
      </c>
      <c r="D77" s="319" t="s">
        <v>1142</v>
      </c>
      <c r="E77" s="320">
        <v>850000</v>
      </c>
      <c r="F77" s="320">
        <v>850000</v>
      </c>
    </row>
    <row r="78" spans="1:6">
      <c r="A78" s="318" t="s">
        <v>1075</v>
      </c>
      <c r="B78" s="319" t="s">
        <v>768</v>
      </c>
      <c r="C78" s="319" t="s">
        <v>1199</v>
      </c>
      <c r="D78" s="319" t="s">
        <v>365</v>
      </c>
      <c r="E78" s="320">
        <v>850000</v>
      </c>
      <c r="F78" s="320">
        <v>850000</v>
      </c>
    </row>
    <row r="79" spans="1:6" ht="102">
      <c r="A79" s="318" t="s">
        <v>1788</v>
      </c>
      <c r="B79" s="319" t="s">
        <v>1789</v>
      </c>
      <c r="C79" s="319" t="s">
        <v>1173</v>
      </c>
      <c r="D79" s="319" t="s">
        <v>1173</v>
      </c>
      <c r="E79" s="320">
        <v>15752100</v>
      </c>
      <c r="F79" s="320">
        <v>15752100</v>
      </c>
    </row>
    <row r="80" spans="1:6" ht="38.25">
      <c r="A80" s="318" t="s">
        <v>1327</v>
      </c>
      <c r="B80" s="319" t="s">
        <v>1789</v>
      </c>
      <c r="C80" s="319" t="s">
        <v>1328</v>
      </c>
      <c r="D80" s="319" t="s">
        <v>1173</v>
      </c>
      <c r="E80" s="320">
        <v>15752100</v>
      </c>
      <c r="F80" s="320">
        <v>15752100</v>
      </c>
    </row>
    <row r="81" spans="1:6">
      <c r="A81" s="318" t="s">
        <v>1198</v>
      </c>
      <c r="B81" s="319" t="s">
        <v>1789</v>
      </c>
      <c r="C81" s="319" t="s">
        <v>1199</v>
      </c>
      <c r="D81" s="319" t="s">
        <v>1173</v>
      </c>
      <c r="E81" s="320">
        <v>15752100</v>
      </c>
      <c r="F81" s="320">
        <v>15752100</v>
      </c>
    </row>
    <row r="82" spans="1:6">
      <c r="A82" s="318" t="s">
        <v>140</v>
      </c>
      <c r="B82" s="319" t="s">
        <v>1789</v>
      </c>
      <c r="C82" s="319" t="s">
        <v>1199</v>
      </c>
      <c r="D82" s="319" t="s">
        <v>1142</v>
      </c>
      <c r="E82" s="320">
        <v>15752100</v>
      </c>
      <c r="F82" s="320">
        <v>15752100</v>
      </c>
    </row>
    <row r="83" spans="1:6">
      <c r="A83" s="318" t="s">
        <v>1077</v>
      </c>
      <c r="B83" s="319" t="s">
        <v>1789</v>
      </c>
      <c r="C83" s="319" t="s">
        <v>1199</v>
      </c>
      <c r="D83" s="319" t="s">
        <v>1078</v>
      </c>
      <c r="E83" s="320">
        <v>15752100</v>
      </c>
      <c r="F83" s="320">
        <v>15752100</v>
      </c>
    </row>
    <row r="84" spans="1:6" ht="191.25">
      <c r="A84" s="318" t="s">
        <v>530</v>
      </c>
      <c r="B84" s="319" t="s">
        <v>757</v>
      </c>
      <c r="C84" s="319" t="s">
        <v>1173</v>
      </c>
      <c r="D84" s="319" t="s">
        <v>1173</v>
      </c>
      <c r="E84" s="320">
        <v>2608000</v>
      </c>
      <c r="F84" s="320">
        <v>2608000</v>
      </c>
    </row>
    <row r="85" spans="1:6" ht="76.5">
      <c r="A85" s="318" t="s">
        <v>1318</v>
      </c>
      <c r="B85" s="319" t="s">
        <v>757</v>
      </c>
      <c r="C85" s="319" t="s">
        <v>273</v>
      </c>
      <c r="D85" s="319" t="s">
        <v>1173</v>
      </c>
      <c r="E85" s="320">
        <v>390000</v>
      </c>
      <c r="F85" s="320">
        <v>390000</v>
      </c>
    </row>
    <row r="86" spans="1:6" ht="25.5">
      <c r="A86" s="318" t="s">
        <v>1190</v>
      </c>
      <c r="B86" s="319" t="s">
        <v>757</v>
      </c>
      <c r="C86" s="319" t="s">
        <v>133</v>
      </c>
      <c r="D86" s="319" t="s">
        <v>1173</v>
      </c>
      <c r="E86" s="320">
        <v>390000</v>
      </c>
      <c r="F86" s="320">
        <v>390000</v>
      </c>
    </row>
    <row r="87" spans="1:6">
      <c r="A87" s="318" t="s">
        <v>140</v>
      </c>
      <c r="B87" s="319" t="s">
        <v>757</v>
      </c>
      <c r="C87" s="319" t="s">
        <v>133</v>
      </c>
      <c r="D87" s="319" t="s">
        <v>1142</v>
      </c>
      <c r="E87" s="320">
        <v>390000</v>
      </c>
      <c r="F87" s="320">
        <v>390000</v>
      </c>
    </row>
    <row r="88" spans="1:6">
      <c r="A88" s="318" t="s">
        <v>153</v>
      </c>
      <c r="B88" s="319" t="s">
        <v>757</v>
      </c>
      <c r="C88" s="319" t="s">
        <v>133</v>
      </c>
      <c r="D88" s="319" t="s">
        <v>395</v>
      </c>
      <c r="E88" s="320">
        <v>390000</v>
      </c>
      <c r="F88" s="320">
        <v>390000</v>
      </c>
    </row>
    <row r="89" spans="1:6" ht="38.25">
      <c r="A89" s="318" t="s">
        <v>1319</v>
      </c>
      <c r="B89" s="319" t="s">
        <v>757</v>
      </c>
      <c r="C89" s="319" t="s">
        <v>1320</v>
      </c>
      <c r="D89" s="319" t="s">
        <v>1173</v>
      </c>
      <c r="E89" s="320">
        <v>2218000</v>
      </c>
      <c r="F89" s="320">
        <v>2218000</v>
      </c>
    </row>
    <row r="90" spans="1:6" ht="38.25">
      <c r="A90" s="318" t="s">
        <v>1196</v>
      </c>
      <c r="B90" s="319" t="s">
        <v>757</v>
      </c>
      <c r="C90" s="319" t="s">
        <v>1197</v>
      </c>
      <c r="D90" s="319" t="s">
        <v>1173</v>
      </c>
      <c r="E90" s="320">
        <v>2218000</v>
      </c>
      <c r="F90" s="320">
        <v>2218000</v>
      </c>
    </row>
    <row r="91" spans="1:6">
      <c r="A91" s="318" t="s">
        <v>140</v>
      </c>
      <c r="B91" s="319" t="s">
        <v>757</v>
      </c>
      <c r="C91" s="319" t="s">
        <v>1197</v>
      </c>
      <c r="D91" s="319" t="s">
        <v>1142</v>
      </c>
      <c r="E91" s="320">
        <v>2218000</v>
      </c>
      <c r="F91" s="320">
        <v>2218000</v>
      </c>
    </row>
    <row r="92" spans="1:6">
      <c r="A92" s="318" t="s">
        <v>153</v>
      </c>
      <c r="B92" s="319" t="s">
        <v>757</v>
      </c>
      <c r="C92" s="319" t="s">
        <v>1197</v>
      </c>
      <c r="D92" s="319" t="s">
        <v>395</v>
      </c>
      <c r="E92" s="320">
        <v>2218000</v>
      </c>
      <c r="F92" s="320">
        <v>2218000</v>
      </c>
    </row>
    <row r="93" spans="1:6" ht="178.5">
      <c r="A93" s="318" t="s">
        <v>577</v>
      </c>
      <c r="B93" s="319" t="s">
        <v>756</v>
      </c>
      <c r="C93" s="319" t="s">
        <v>1173</v>
      </c>
      <c r="D93" s="319" t="s">
        <v>1173</v>
      </c>
      <c r="E93" s="320">
        <v>78700</v>
      </c>
      <c r="F93" s="320">
        <v>78700</v>
      </c>
    </row>
    <row r="94" spans="1:6" ht="38.25">
      <c r="A94" s="318" t="s">
        <v>1327</v>
      </c>
      <c r="B94" s="319" t="s">
        <v>756</v>
      </c>
      <c r="C94" s="319" t="s">
        <v>1328</v>
      </c>
      <c r="D94" s="319" t="s">
        <v>1173</v>
      </c>
      <c r="E94" s="320">
        <v>78700</v>
      </c>
      <c r="F94" s="320">
        <v>78700</v>
      </c>
    </row>
    <row r="95" spans="1:6">
      <c r="A95" s="318" t="s">
        <v>1198</v>
      </c>
      <c r="B95" s="319" t="s">
        <v>756</v>
      </c>
      <c r="C95" s="319" t="s">
        <v>1199</v>
      </c>
      <c r="D95" s="319" t="s">
        <v>1173</v>
      </c>
      <c r="E95" s="320">
        <v>78700</v>
      </c>
      <c r="F95" s="320">
        <v>78700</v>
      </c>
    </row>
    <row r="96" spans="1:6">
      <c r="A96" s="318" t="s">
        <v>140</v>
      </c>
      <c r="B96" s="319" t="s">
        <v>756</v>
      </c>
      <c r="C96" s="319" t="s">
        <v>1199</v>
      </c>
      <c r="D96" s="319" t="s">
        <v>1142</v>
      </c>
      <c r="E96" s="320">
        <v>78700</v>
      </c>
      <c r="F96" s="320">
        <v>78700</v>
      </c>
    </row>
    <row r="97" spans="1:6">
      <c r="A97" s="318" t="s">
        <v>1077</v>
      </c>
      <c r="B97" s="319" t="s">
        <v>756</v>
      </c>
      <c r="C97" s="319" t="s">
        <v>1199</v>
      </c>
      <c r="D97" s="319" t="s">
        <v>1078</v>
      </c>
      <c r="E97" s="320">
        <v>78700</v>
      </c>
      <c r="F97" s="320">
        <v>78700</v>
      </c>
    </row>
    <row r="98" spans="1:6" ht="140.25">
      <c r="A98" s="318" t="s">
        <v>573</v>
      </c>
      <c r="B98" s="319" t="s">
        <v>744</v>
      </c>
      <c r="C98" s="319" t="s">
        <v>1173</v>
      </c>
      <c r="D98" s="319" t="s">
        <v>1173</v>
      </c>
      <c r="E98" s="320">
        <v>839000</v>
      </c>
      <c r="F98" s="320">
        <v>839000</v>
      </c>
    </row>
    <row r="99" spans="1:6" ht="76.5">
      <c r="A99" s="318" t="s">
        <v>1318</v>
      </c>
      <c r="B99" s="319" t="s">
        <v>744</v>
      </c>
      <c r="C99" s="319" t="s">
        <v>273</v>
      </c>
      <c r="D99" s="319" t="s">
        <v>1173</v>
      </c>
      <c r="E99" s="320">
        <v>839000</v>
      </c>
      <c r="F99" s="320">
        <v>839000</v>
      </c>
    </row>
    <row r="100" spans="1:6" ht="25.5">
      <c r="A100" s="318" t="s">
        <v>1190</v>
      </c>
      <c r="B100" s="319" t="s">
        <v>744</v>
      </c>
      <c r="C100" s="319" t="s">
        <v>133</v>
      </c>
      <c r="D100" s="319" t="s">
        <v>1173</v>
      </c>
      <c r="E100" s="320">
        <v>839000</v>
      </c>
      <c r="F100" s="320">
        <v>839000</v>
      </c>
    </row>
    <row r="101" spans="1:6">
      <c r="A101" s="318" t="s">
        <v>140</v>
      </c>
      <c r="B101" s="319" t="s">
        <v>744</v>
      </c>
      <c r="C101" s="319" t="s">
        <v>133</v>
      </c>
      <c r="D101" s="319" t="s">
        <v>1142</v>
      </c>
      <c r="E101" s="320">
        <v>839000</v>
      </c>
      <c r="F101" s="320">
        <v>839000</v>
      </c>
    </row>
    <row r="102" spans="1:6">
      <c r="A102" s="318" t="s">
        <v>152</v>
      </c>
      <c r="B102" s="319" t="s">
        <v>744</v>
      </c>
      <c r="C102" s="319" t="s">
        <v>133</v>
      </c>
      <c r="D102" s="319" t="s">
        <v>408</v>
      </c>
      <c r="E102" s="320">
        <v>839000</v>
      </c>
      <c r="F102" s="320">
        <v>839000</v>
      </c>
    </row>
    <row r="103" spans="1:6" ht="165.75">
      <c r="A103" s="318" t="s">
        <v>578</v>
      </c>
      <c r="B103" s="319" t="s">
        <v>752</v>
      </c>
      <c r="C103" s="319" t="s">
        <v>1173</v>
      </c>
      <c r="D103" s="319" t="s">
        <v>1173</v>
      </c>
      <c r="E103" s="320">
        <v>960000</v>
      </c>
      <c r="F103" s="320">
        <v>960000</v>
      </c>
    </row>
    <row r="104" spans="1:6" ht="76.5">
      <c r="A104" s="318" t="s">
        <v>1318</v>
      </c>
      <c r="B104" s="319" t="s">
        <v>752</v>
      </c>
      <c r="C104" s="319" t="s">
        <v>273</v>
      </c>
      <c r="D104" s="319" t="s">
        <v>1173</v>
      </c>
      <c r="E104" s="320">
        <v>960000</v>
      </c>
      <c r="F104" s="320">
        <v>960000</v>
      </c>
    </row>
    <row r="105" spans="1:6" ht="25.5">
      <c r="A105" s="318" t="s">
        <v>1190</v>
      </c>
      <c r="B105" s="319" t="s">
        <v>752</v>
      </c>
      <c r="C105" s="319" t="s">
        <v>133</v>
      </c>
      <c r="D105" s="319" t="s">
        <v>1173</v>
      </c>
      <c r="E105" s="320">
        <v>960000</v>
      </c>
      <c r="F105" s="320">
        <v>960000</v>
      </c>
    </row>
    <row r="106" spans="1:6">
      <c r="A106" s="318" t="s">
        <v>140</v>
      </c>
      <c r="B106" s="319" t="s">
        <v>752</v>
      </c>
      <c r="C106" s="319" t="s">
        <v>133</v>
      </c>
      <c r="D106" s="319" t="s">
        <v>1142</v>
      </c>
      <c r="E106" s="320">
        <v>960000</v>
      </c>
      <c r="F106" s="320">
        <v>960000</v>
      </c>
    </row>
    <row r="107" spans="1:6">
      <c r="A107" s="318" t="s">
        <v>153</v>
      </c>
      <c r="B107" s="319" t="s">
        <v>752</v>
      </c>
      <c r="C107" s="319" t="s">
        <v>133</v>
      </c>
      <c r="D107" s="319" t="s">
        <v>395</v>
      </c>
      <c r="E107" s="320">
        <v>960000</v>
      </c>
      <c r="F107" s="320">
        <v>960000</v>
      </c>
    </row>
    <row r="108" spans="1:6" ht="153">
      <c r="A108" s="318" t="s">
        <v>579</v>
      </c>
      <c r="B108" s="319" t="s">
        <v>759</v>
      </c>
      <c r="C108" s="319" t="s">
        <v>1173</v>
      </c>
      <c r="D108" s="319" t="s">
        <v>1173</v>
      </c>
      <c r="E108" s="320">
        <v>570000</v>
      </c>
      <c r="F108" s="320">
        <v>570000</v>
      </c>
    </row>
    <row r="109" spans="1:6" ht="38.25">
      <c r="A109" s="318" t="s">
        <v>1327</v>
      </c>
      <c r="B109" s="319" t="s">
        <v>759</v>
      </c>
      <c r="C109" s="319" t="s">
        <v>1328</v>
      </c>
      <c r="D109" s="319" t="s">
        <v>1173</v>
      </c>
      <c r="E109" s="320">
        <v>570000</v>
      </c>
      <c r="F109" s="320">
        <v>570000</v>
      </c>
    </row>
    <row r="110" spans="1:6">
      <c r="A110" s="318" t="s">
        <v>1198</v>
      </c>
      <c r="B110" s="319" t="s">
        <v>759</v>
      </c>
      <c r="C110" s="319" t="s">
        <v>1199</v>
      </c>
      <c r="D110" s="319" t="s">
        <v>1173</v>
      </c>
      <c r="E110" s="320">
        <v>570000</v>
      </c>
      <c r="F110" s="320">
        <v>570000</v>
      </c>
    </row>
    <row r="111" spans="1:6">
      <c r="A111" s="318" t="s">
        <v>140</v>
      </c>
      <c r="B111" s="319" t="s">
        <v>759</v>
      </c>
      <c r="C111" s="319" t="s">
        <v>1199</v>
      </c>
      <c r="D111" s="319" t="s">
        <v>1142</v>
      </c>
      <c r="E111" s="320">
        <v>570000</v>
      </c>
      <c r="F111" s="320">
        <v>570000</v>
      </c>
    </row>
    <row r="112" spans="1:6">
      <c r="A112" s="318" t="s">
        <v>1077</v>
      </c>
      <c r="B112" s="319" t="s">
        <v>759</v>
      </c>
      <c r="C112" s="319" t="s">
        <v>1199</v>
      </c>
      <c r="D112" s="319" t="s">
        <v>1078</v>
      </c>
      <c r="E112" s="320">
        <v>570000</v>
      </c>
      <c r="F112" s="320">
        <v>570000</v>
      </c>
    </row>
    <row r="113" spans="1:6" ht="153">
      <c r="A113" s="318" t="s">
        <v>769</v>
      </c>
      <c r="B113" s="319" t="s">
        <v>770</v>
      </c>
      <c r="C113" s="319" t="s">
        <v>1173</v>
      </c>
      <c r="D113" s="319" t="s">
        <v>1173</v>
      </c>
      <c r="E113" s="320">
        <v>93000</v>
      </c>
      <c r="F113" s="320">
        <v>93000</v>
      </c>
    </row>
    <row r="114" spans="1:6" ht="38.25">
      <c r="A114" s="318" t="s">
        <v>1327</v>
      </c>
      <c r="B114" s="319" t="s">
        <v>770</v>
      </c>
      <c r="C114" s="319" t="s">
        <v>1328</v>
      </c>
      <c r="D114" s="319" t="s">
        <v>1173</v>
      </c>
      <c r="E114" s="320">
        <v>93000</v>
      </c>
      <c r="F114" s="320">
        <v>93000</v>
      </c>
    </row>
    <row r="115" spans="1:6">
      <c r="A115" s="318" t="s">
        <v>1198</v>
      </c>
      <c r="B115" s="319" t="s">
        <v>770</v>
      </c>
      <c r="C115" s="319" t="s">
        <v>1199</v>
      </c>
      <c r="D115" s="319" t="s">
        <v>1173</v>
      </c>
      <c r="E115" s="320">
        <v>93000</v>
      </c>
      <c r="F115" s="320">
        <v>93000</v>
      </c>
    </row>
    <row r="116" spans="1:6">
      <c r="A116" s="318" t="s">
        <v>140</v>
      </c>
      <c r="B116" s="319" t="s">
        <v>770</v>
      </c>
      <c r="C116" s="319" t="s">
        <v>1199</v>
      </c>
      <c r="D116" s="319" t="s">
        <v>1142</v>
      </c>
      <c r="E116" s="320">
        <v>93000</v>
      </c>
      <c r="F116" s="320">
        <v>93000</v>
      </c>
    </row>
    <row r="117" spans="1:6">
      <c r="A117" s="318" t="s">
        <v>1075</v>
      </c>
      <c r="B117" s="319" t="s">
        <v>770</v>
      </c>
      <c r="C117" s="319" t="s">
        <v>1199</v>
      </c>
      <c r="D117" s="319" t="s">
        <v>365</v>
      </c>
      <c r="E117" s="320">
        <v>93000</v>
      </c>
      <c r="F117" s="320">
        <v>93000</v>
      </c>
    </row>
    <row r="118" spans="1:6" ht="153">
      <c r="A118" s="318" t="s">
        <v>574</v>
      </c>
      <c r="B118" s="319" t="s">
        <v>745</v>
      </c>
      <c r="C118" s="319" t="s">
        <v>1173</v>
      </c>
      <c r="D118" s="319" t="s">
        <v>1173</v>
      </c>
      <c r="E118" s="320">
        <v>42387100</v>
      </c>
      <c r="F118" s="320">
        <v>42387100</v>
      </c>
    </row>
    <row r="119" spans="1:6" ht="38.25">
      <c r="A119" s="318" t="s">
        <v>1319</v>
      </c>
      <c r="B119" s="319" t="s">
        <v>745</v>
      </c>
      <c r="C119" s="319" t="s">
        <v>1320</v>
      </c>
      <c r="D119" s="319" t="s">
        <v>1173</v>
      </c>
      <c r="E119" s="320">
        <v>42387100</v>
      </c>
      <c r="F119" s="320">
        <v>42387100</v>
      </c>
    </row>
    <row r="120" spans="1:6" ht="38.25">
      <c r="A120" s="318" t="s">
        <v>1196</v>
      </c>
      <c r="B120" s="319" t="s">
        <v>745</v>
      </c>
      <c r="C120" s="319" t="s">
        <v>1197</v>
      </c>
      <c r="D120" s="319" t="s">
        <v>1173</v>
      </c>
      <c r="E120" s="320">
        <v>42387100</v>
      </c>
      <c r="F120" s="320">
        <v>42387100</v>
      </c>
    </row>
    <row r="121" spans="1:6">
      <c r="A121" s="318" t="s">
        <v>140</v>
      </c>
      <c r="B121" s="319" t="s">
        <v>745</v>
      </c>
      <c r="C121" s="319" t="s">
        <v>1197</v>
      </c>
      <c r="D121" s="319" t="s">
        <v>1142</v>
      </c>
      <c r="E121" s="320">
        <v>42387100</v>
      </c>
      <c r="F121" s="320">
        <v>42387100</v>
      </c>
    </row>
    <row r="122" spans="1:6">
      <c r="A122" s="318" t="s">
        <v>152</v>
      </c>
      <c r="B122" s="319" t="s">
        <v>745</v>
      </c>
      <c r="C122" s="319" t="s">
        <v>1197</v>
      </c>
      <c r="D122" s="319" t="s">
        <v>408</v>
      </c>
      <c r="E122" s="320">
        <v>42387100</v>
      </c>
      <c r="F122" s="320">
        <v>42387100</v>
      </c>
    </row>
    <row r="123" spans="1:6" ht="178.5">
      <c r="A123" s="318" t="s">
        <v>580</v>
      </c>
      <c r="B123" s="319" t="s">
        <v>753</v>
      </c>
      <c r="C123" s="319" t="s">
        <v>1173</v>
      </c>
      <c r="D123" s="319" t="s">
        <v>1173</v>
      </c>
      <c r="E123" s="320">
        <v>105225478</v>
      </c>
      <c r="F123" s="320">
        <v>105225478</v>
      </c>
    </row>
    <row r="124" spans="1:6" ht="38.25">
      <c r="A124" s="318" t="s">
        <v>1319</v>
      </c>
      <c r="B124" s="319" t="s">
        <v>753</v>
      </c>
      <c r="C124" s="319" t="s">
        <v>1320</v>
      </c>
      <c r="D124" s="319" t="s">
        <v>1173</v>
      </c>
      <c r="E124" s="320">
        <v>105225478</v>
      </c>
      <c r="F124" s="320">
        <v>105225478</v>
      </c>
    </row>
    <row r="125" spans="1:6" ht="38.25">
      <c r="A125" s="318" t="s">
        <v>1196</v>
      </c>
      <c r="B125" s="319" t="s">
        <v>753</v>
      </c>
      <c r="C125" s="319" t="s">
        <v>1197</v>
      </c>
      <c r="D125" s="319" t="s">
        <v>1173</v>
      </c>
      <c r="E125" s="320">
        <v>105225478</v>
      </c>
      <c r="F125" s="320">
        <v>105225478</v>
      </c>
    </row>
    <row r="126" spans="1:6">
      <c r="A126" s="318" t="s">
        <v>140</v>
      </c>
      <c r="B126" s="319" t="s">
        <v>753</v>
      </c>
      <c r="C126" s="319" t="s">
        <v>1197</v>
      </c>
      <c r="D126" s="319" t="s">
        <v>1142</v>
      </c>
      <c r="E126" s="320">
        <v>105225478</v>
      </c>
      <c r="F126" s="320">
        <v>105225478</v>
      </c>
    </row>
    <row r="127" spans="1:6">
      <c r="A127" s="318" t="s">
        <v>153</v>
      </c>
      <c r="B127" s="319" t="s">
        <v>753</v>
      </c>
      <c r="C127" s="319" t="s">
        <v>1197</v>
      </c>
      <c r="D127" s="319" t="s">
        <v>395</v>
      </c>
      <c r="E127" s="320">
        <v>105225478</v>
      </c>
      <c r="F127" s="320">
        <v>105225478</v>
      </c>
    </row>
    <row r="128" spans="1:6" ht="165.75">
      <c r="A128" s="318" t="s">
        <v>581</v>
      </c>
      <c r="B128" s="319" t="s">
        <v>760</v>
      </c>
      <c r="C128" s="319" t="s">
        <v>1173</v>
      </c>
      <c r="D128" s="319" t="s">
        <v>1173</v>
      </c>
      <c r="E128" s="320">
        <v>2963352</v>
      </c>
      <c r="F128" s="320">
        <v>2963352</v>
      </c>
    </row>
    <row r="129" spans="1:6" ht="38.25">
      <c r="A129" s="318" t="s">
        <v>1327</v>
      </c>
      <c r="B129" s="319" t="s">
        <v>760</v>
      </c>
      <c r="C129" s="319" t="s">
        <v>1328</v>
      </c>
      <c r="D129" s="319" t="s">
        <v>1173</v>
      </c>
      <c r="E129" s="320">
        <v>2963352</v>
      </c>
      <c r="F129" s="320">
        <v>2963352</v>
      </c>
    </row>
    <row r="130" spans="1:6">
      <c r="A130" s="318" t="s">
        <v>1198</v>
      </c>
      <c r="B130" s="319" t="s">
        <v>760</v>
      </c>
      <c r="C130" s="319" t="s">
        <v>1199</v>
      </c>
      <c r="D130" s="319" t="s">
        <v>1173</v>
      </c>
      <c r="E130" s="320">
        <v>2963352</v>
      </c>
      <c r="F130" s="320">
        <v>2963352</v>
      </c>
    </row>
    <row r="131" spans="1:6">
      <c r="A131" s="318" t="s">
        <v>140</v>
      </c>
      <c r="B131" s="319" t="s">
        <v>760</v>
      </c>
      <c r="C131" s="319" t="s">
        <v>1199</v>
      </c>
      <c r="D131" s="319" t="s">
        <v>1142</v>
      </c>
      <c r="E131" s="320">
        <v>2438256</v>
      </c>
      <c r="F131" s="320">
        <v>2438256</v>
      </c>
    </row>
    <row r="132" spans="1:6">
      <c r="A132" s="318" t="s">
        <v>1077</v>
      </c>
      <c r="B132" s="319" t="s">
        <v>760</v>
      </c>
      <c r="C132" s="319" t="s">
        <v>1199</v>
      </c>
      <c r="D132" s="319" t="s">
        <v>1078</v>
      </c>
      <c r="E132" s="320">
        <v>2438256</v>
      </c>
      <c r="F132" s="320">
        <v>2438256</v>
      </c>
    </row>
    <row r="133" spans="1:6">
      <c r="A133" s="318" t="s">
        <v>248</v>
      </c>
      <c r="B133" s="319" t="s">
        <v>760</v>
      </c>
      <c r="C133" s="319" t="s">
        <v>1199</v>
      </c>
      <c r="D133" s="319" t="s">
        <v>1144</v>
      </c>
      <c r="E133" s="320">
        <v>525096</v>
      </c>
      <c r="F133" s="320">
        <v>525096</v>
      </c>
    </row>
    <row r="134" spans="1:6">
      <c r="A134" s="318" t="s">
        <v>1228</v>
      </c>
      <c r="B134" s="319" t="s">
        <v>760</v>
      </c>
      <c r="C134" s="319" t="s">
        <v>1199</v>
      </c>
      <c r="D134" s="319" t="s">
        <v>1229</v>
      </c>
      <c r="E134" s="320">
        <v>525096</v>
      </c>
      <c r="F134" s="320">
        <v>525096</v>
      </c>
    </row>
    <row r="135" spans="1:6" ht="165.75">
      <c r="A135" s="318" t="s">
        <v>1149</v>
      </c>
      <c r="B135" s="319" t="s">
        <v>1150</v>
      </c>
      <c r="C135" s="319" t="s">
        <v>1173</v>
      </c>
      <c r="D135" s="319" t="s">
        <v>1173</v>
      </c>
      <c r="E135" s="320">
        <v>59000</v>
      </c>
      <c r="F135" s="320">
        <v>59000</v>
      </c>
    </row>
    <row r="136" spans="1:6" ht="38.25">
      <c r="A136" s="318" t="s">
        <v>1327</v>
      </c>
      <c r="B136" s="319" t="s">
        <v>1150</v>
      </c>
      <c r="C136" s="319" t="s">
        <v>1328</v>
      </c>
      <c r="D136" s="319" t="s">
        <v>1173</v>
      </c>
      <c r="E136" s="320">
        <v>59000</v>
      </c>
      <c r="F136" s="320">
        <v>59000</v>
      </c>
    </row>
    <row r="137" spans="1:6">
      <c r="A137" s="318" t="s">
        <v>1198</v>
      </c>
      <c r="B137" s="319" t="s">
        <v>1150</v>
      </c>
      <c r="C137" s="319" t="s">
        <v>1199</v>
      </c>
      <c r="D137" s="319" t="s">
        <v>1173</v>
      </c>
      <c r="E137" s="320">
        <v>59000</v>
      </c>
      <c r="F137" s="320">
        <v>59000</v>
      </c>
    </row>
    <row r="138" spans="1:6">
      <c r="A138" s="318" t="s">
        <v>140</v>
      </c>
      <c r="B138" s="319" t="s">
        <v>1150</v>
      </c>
      <c r="C138" s="319" t="s">
        <v>1199</v>
      </c>
      <c r="D138" s="319" t="s">
        <v>1142</v>
      </c>
      <c r="E138" s="320">
        <v>59000</v>
      </c>
      <c r="F138" s="320">
        <v>59000</v>
      </c>
    </row>
    <row r="139" spans="1:6">
      <c r="A139" s="318" t="s">
        <v>1075</v>
      </c>
      <c r="B139" s="319" t="s">
        <v>1150</v>
      </c>
      <c r="C139" s="319" t="s">
        <v>1199</v>
      </c>
      <c r="D139" s="319" t="s">
        <v>365</v>
      </c>
      <c r="E139" s="320">
        <v>59000</v>
      </c>
      <c r="F139" s="320">
        <v>59000</v>
      </c>
    </row>
    <row r="140" spans="1:6" ht="165.75">
      <c r="A140" s="318" t="s">
        <v>1781</v>
      </c>
      <c r="B140" s="319" t="s">
        <v>1782</v>
      </c>
      <c r="C140" s="319" t="s">
        <v>1173</v>
      </c>
      <c r="D140" s="319" t="s">
        <v>1173</v>
      </c>
      <c r="E140" s="320">
        <v>874300</v>
      </c>
      <c r="F140" s="320">
        <v>874300</v>
      </c>
    </row>
    <row r="141" spans="1:6" ht="38.25">
      <c r="A141" s="318" t="s">
        <v>1319</v>
      </c>
      <c r="B141" s="319" t="s">
        <v>1782</v>
      </c>
      <c r="C141" s="319" t="s">
        <v>1320</v>
      </c>
      <c r="D141" s="319" t="s">
        <v>1173</v>
      </c>
      <c r="E141" s="320">
        <v>874300</v>
      </c>
      <c r="F141" s="320">
        <v>874300</v>
      </c>
    </row>
    <row r="142" spans="1:6" ht="38.25">
      <c r="A142" s="318" t="s">
        <v>1196</v>
      </c>
      <c r="B142" s="319" t="s">
        <v>1782</v>
      </c>
      <c r="C142" s="319" t="s">
        <v>1197</v>
      </c>
      <c r="D142" s="319" t="s">
        <v>1173</v>
      </c>
      <c r="E142" s="320">
        <v>874300</v>
      </c>
      <c r="F142" s="320">
        <v>874300</v>
      </c>
    </row>
    <row r="143" spans="1:6">
      <c r="A143" s="318" t="s">
        <v>140</v>
      </c>
      <c r="B143" s="319" t="s">
        <v>1782</v>
      </c>
      <c r="C143" s="319" t="s">
        <v>1197</v>
      </c>
      <c r="D143" s="319" t="s">
        <v>1142</v>
      </c>
      <c r="E143" s="320">
        <v>874300</v>
      </c>
      <c r="F143" s="320">
        <v>874300</v>
      </c>
    </row>
    <row r="144" spans="1:6">
      <c r="A144" s="318" t="s">
        <v>152</v>
      </c>
      <c r="B144" s="319" t="s">
        <v>1782</v>
      </c>
      <c r="C144" s="319" t="s">
        <v>1197</v>
      </c>
      <c r="D144" s="319" t="s">
        <v>408</v>
      </c>
      <c r="E144" s="320">
        <v>874300</v>
      </c>
      <c r="F144" s="320">
        <v>874300</v>
      </c>
    </row>
    <row r="145" spans="1:6" ht="178.5">
      <c r="A145" s="318" t="s">
        <v>1784</v>
      </c>
      <c r="B145" s="319" t="s">
        <v>1785</v>
      </c>
      <c r="C145" s="319" t="s">
        <v>1173</v>
      </c>
      <c r="D145" s="319" t="s">
        <v>1173</v>
      </c>
      <c r="E145" s="320">
        <v>1351700</v>
      </c>
      <c r="F145" s="320">
        <v>1351700</v>
      </c>
    </row>
    <row r="146" spans="1:6" ht="38.25">
      <c r="A146" s="318" t="s">
        <v>1319</v>
      </c>
      <c r="B146" s="319" t="s">
        <v>1785</v>
      </c>
      <c r="C146" s="319" t="s">
        <v>1320</v>
      </c>
      <c r="D146" s="319" t="s">
        <v>1173</v>
      </c>
      <c r="E146" s="320">
        <v>1351700</v>
      </c>
      <c r="F146" s="320">
        <v>1351700</v>
      </c>
    </row>
    <row r="147" spans="1:6" ht="38.25">
      <c r="A147" s="318" t="s">
        <v>1196</v>
      </c>
      <c r="B147" s="319" t="s">
        <v>1785</v>
      </c>
      <c r="C147" s="319" t="s">
        <v>1197</v>
      </c>
      <c r="D147" s="319" t="s">
        <v>1173</v>
      </c>
      <c r="E147" s="320">
        <v>1351700</v>
      </c>
      <c r="F147" s="320">
        <v>1351700</v>
      </c>
    </row>
    <row r="148" spans="1:6">
      <c r="A148" s="318" t="s">
        <v>140</v>
      </c>
      <c r="B148" s="319" t="s">
        <v>1785</v>
      </c>
      <c r="C148" s="319" t="s">
        <v>1197</v>
      </c>
      <c r="D148" s="319" t="s">
        <v>1142</v>
      </c>
      <c r="E148" s="320">
        <v>1351700</v>
      </c>
      <c r="F148" s="320">
        <v>1351700</v>
      </c>
    </row>
    <row r="149" spans="1:6">
      <c r="A149" s="318" t="s">
        <v>153</v>
      </c>
      <c r="B149" s="319" t="s">
        <v>1785</v>
      </c>
      <c r="C149" s="319" t="s">
        <v>1197</v>
      </c>
      <c r="D149" s="319" t="s">
        <v>395</v>
      </c>
      <c r="E149" s="320">
        <v>1351700</v>
      </c>
      <c r="F149" s="320">
        <v>1351700</v>
      </c>
    </row>
    <row r="150" spans="1:6" ht="165.75">
      <c r="A150" s="318" t="s">
        <v>1847</v>
      </c>
      <c r="B150" s="319" t="s">
        <v>1848</v>
      </c>
      <c r="C150" s="319" t="s">
        <v>1173</v>
      </c>
      <c r="D150" s="319" t="s">
        <v>1173</v>
      </c>
      <c r="E150" s="320">
        <v>37200</v>
      </c>
      <c r="F150" s="320">
        <v>37200</v>
      </c>
    </row>
    <row r="151" spans="1:6" ht="38.25">
      <c r="A151" s="318" t="s">
        <v>1327</v>
      </c>
      <c r="B151" s="319" t="s">
        <v>1848</v>
      </c>
      <c r="C151" s="319" t="s">
        <v>1328</v>
      </c>
      <c r="D151" s="319" t="s">
        <v>1173</v>
      </c>
      <c r="E151" s="320">
        <v>37200</v>
      </c>
      <c r="F151" s="320">
        <v>37200</v>
      </c>
    </row>
    <row r="152" spans="1:6">
      <c r="A152" s="318" t="s">
        <v>1198</v>
      </c>
      <c r="B152" s="319" t="s">
        <v>1848</v>
      </c>
      <c r="C152" s="319" t="s">
        <v>1199</v>
      </c>
      <c r="D152" s="319" t="s">
        <v>1173</v>
      </c>
      <c r="E152" s="320">
        <v>37200</v>
      </c>
      <c r="F152" s="320">
        <v>37200</v>
      </c>
    </row>
    <row r="153" spans="1:6">
      <c r="A153" s="318" t="s">
        <v>140</v>
      </c>
      <c r="B153" s="319" t="s">
        <v>1848</v>
      </c>
      <c r="C153" s="319" t="s">
        <v>1199</v>
      </c>
      <c r="D153" s="319" t="s">
        <v>1142</v>
      </c>
      <c r="E153" s="320">
        <v>37200</v>
      </c>
      <c r="F153" s="320">
        <v>37200</v>
      </c>
    </row>
    <row r="154" spans="1:6">
      <c r="A154" s="318" t="s">
        <v>1077</v>
      </c>
      <c r="B154" s="319" t="s">
        <v>1848</v>
      </c>
      <c r="C154" s="319" t="s">
        <v>1199</v>
      </c>
      <c r="D154" s="319" t="s">
        <v>1078</v>
      </c>
      <c r="E154" s="320">
        <v>37200</v>
      </c>
      <c r="F154" s="320">
        <v>37200</v>
      </c>
    </row>
    <row r="155" spans="1:6" ht="165.75">
      <c r="A155" s="318" t="s">
        <v>1849</v>
      </c>
      <c r="B155" s="319" t="s">
        <v>1850</v>
      </c>
      <c r="C155" s="319" t="s">
        <v>1173</v>
      </c>
      <c r="D155" s="319" t="s">
        <v>1173</v>
      </c>
      <c r="E155" s="320">
        <v>47750</v>
      </c>
      <c r="F155" s="320">
        <v>47750</v>
      </c>
    </row>
    <row r="156" spans="1:6" ht="38.25">
      <c r="A156" s="318" t="s">
        <v>1327</v>
      </c>
      <c r="B156" s="319" t="s">
        <v>1850</v>
      </c>
      <c r="C156" s="319" t="s">
        <v>1328</v>
      </c>
      <c r="D156" s="319" t="s">
        <v>1173</v>
      </c>
      <c r="E156" s="320">
        <v>47750</v>
      </c>
      <c r="F156" s="320">
        <v>47750</v>
      </c>
    </row>
    <row r="157" spans="1:6">
      <c r="A157" s="318" t="s">
        <v>1198</v>
      </c>
      <c r="B157" s="319" t="s">
        <v>1850</v>
      </c>
      <c r="C157" s="319" t="s">
        <v>1199</v>
      </c>
      <c r="D157" s="319" t="s">
        <v>1173</v>
      </c>
      <c r="E157" s="320">
        <v>47750</v>
      </c>
      <c r="F157" s="320">
        <v>47750</v>
      </c>
    </row>
    <row r="158" spans="1:6">
      <c r="A158" s="318" t="s">
        <v>140</v>
      </c>
      <c r="B158" s="319" t="s">
        <v>1850</v>
      </c>
      <c r="C158" s="319" t="s">
        <v>1199</v>
      </c>
      <c r="D158" s="319" t="s">
        <v>1142</v>
      </c>
      <c r="E158" s="320">
        <v>47750</v>
      </c>
      <c r="F158" s="320">
        <v>47750</v>
      </c>
    </row>
    <row r="159" spans="1:6">
      <c r="A159" s="318" t="s">
        <v>1075</v>
      </c>
      <c r="B159" s="319" t="s">
        <v>1850</v>
      </c>
      <c r="C159" s="319" t="s">
        <v>1199</v>
      </c>
      <c r="D159" s="319" t="s">
        <v>365</v>
      </c>
      <c r="E159" s="320">
        <v>47750</v>
      </c>
      <c r="F159" s="320">
        <v>47750</v>
      </c>
    </row>
    <row r="160" spans="1:6" ht="140.25">
      <c r="A160" s="318" t="s">
        <v>575</v>
      </c>
      <c r="B160" s="319" t="s">
        <v>746</v>
      </c>
      <c r="C160" s="319" t="s">
        <v>1173</v>
      </c>
      <c r="D160" s="319" t="s">
        <v>1173</v>
      </c>
      <c r="E160" s="320">
        <v>41000000</v>
      </c>
      <c r="F160" s="320">
        <v>41000000</v>
      </c>
    </row>
    <row r="161" spans="1:6" ht="38.25">
      <c r="A161" s="318" t="s">
        <v>1319</v>
      </c>
      <c r="B161" s="319" t="s">
        <v>746</v>
      </c>
      <c r="C161" s="319" t="s">
        <v>1320</v>
      </c>
      <c r="D161" s="319" t="s">
        <v>1173</v>
      </c>
      <c r="E161" s="320">
        <v>41000000</v>
      </c>
      <c r="F161" s="320">
        <v>41000000</v>
      </c>
    </row>
    <row r="162" spans="1:6" ht="38.25">
      <c r="A162" s="318" t="s">
        <v>1196</v>
      </c>
      <c r="B162" s="319" t="s">
        <v>746</v>
      </c>
      <c r="C162" s="319" t="s">
        <v>1197</v>
      </c>
      <c r="D162" s="319" t="s">
        <v>1173</v>
      </c>
      <c r="E162" s="320">
        <v>41000000</v>
      </c>
      <c r="F162" s="320">
        <v>41000000</v>
      </c>
    </row>
    <row r="163" spans="1:6">
      <c r="A163" s="318" t="s">
        <v>140</v>
      </c>
      <c r="B163" s="319" t="s">
        <v>746</v>
      </c>
      <c r="C163" s="319" t="s">
        <v>1197</v>
      </c>
      <c r="D163" s="319" t="s">
        <v>1142</v>
      </c>
      <c r="E163" s="320">
        <v>41000000</v>
      </c>
      <c r="F163" s="320">
        <v>41000000</v>
      </c>
    </row>
    <row r="164" spans="1:6">
      <c r="A164" s="318" t="s">
        <v>152</v>
      </c>
      <c r="B164" s="319" t="s">
        <v>746</v>
      </c>
      <c r="C164" s="319" t="s">
        <v>1197</v>
      </c>
      <c r="D164" s="319" t="s">
        <v>408</v>
      </c>
      <c r="E164" s="320">
        <v>41000000</v>
      </c>
      <c r="F164" s="320">
        <v>41000000</v>
      </c>
    </row>
    <row r="165" spans="1:6" ht="153">
      <c r="A165" s="318" t="s">
        <v>582</v>
      </c>
      <c r="B165" s="319" t="s">
        <v>758</v>
      </c>
      <c r="C165" s="319" t="s">
        <v>1173</v>
      </c>
      <c r="D165" s="319" t="s">
        <v>1173</v>
      </c>
      <c r="E165" s="320">
        <v>4705000</v>
      </c>
      <c r="F165" s="320">
        <v>4705000</v>
      </c>
    </row>
    <row r="166" spans="1:6" ht="38.25">
      <c r="A166" s="318" t="s">
        <v>1319</v>
      </c>
      <c r="B166" s="319" t="s">
        <v>758</v>
      </c>
      <c r="C166" s="319" t="s">
        <v>1320</v>
      </c>
      <c r="D166" s="319" t="s">
        <v>1173</v>
      </c>
      <c r="E166" s="320">
        <v>4705000</v>
      </c>
      <c r="F166" s="320">
        <v>4705000</v>
      </c>
    </row>
    <row r="167" spans="1:6" ht="38.25">
      <c r="A167" s="318" t="s">
        <v>1196</v>
      </c>
      <c r="B167" s="319" t="s">
        <v>758</v>
      </c>
      <c r="C167" s="319" t="s">
        <v>1197</v>
      </c>
      <c r="D167" s="319" t="s">
        <v>1173</v>
      </c>
      <c r="E167" s="320">
        <v>4705000</v>
      </c>
      <c r="F167" s="320">
        <v>4705000</v>
      </c>
    </row>
    <row r="168" spans="1:6">
      <c r="A168" s="318" t="s">
        <v>140</v>
      </c>
      <c r="B168" s="319" t="s">
        <v>758</v>
      </c>
      <c r="C168" s="319" t="s">
        <v>1197</v>
      </c>
      <c r="D168" s="319" t="s">
        <v>1142</v>
      </c>
      <c r="E168" s="320">
        <v>4705000</v>
      </c>
      <c r="F168" s="320">
        <v>4705000</v>
      </c>
    </row>
    <row r="169" spans="1:6">
      <c r="A169" s="318" t="s">
        <v>153</v>
      </c>
      <c r="B169" s="319" t="s">
        <v>758</v>
      </c>
      <c r="C169" s="319" t="s">
        <v>1197</v>
      </c>
      <c r="D169" s="319" t="s">
        <v>395</v>
      </c>
      <c r="E169" s="320">
        <v>4705000</v>
      </c>
      <c r="F169" s="320">
        <v>4705000</v>
      </c>
    </row>
    <row r="170" spans="1:6" ht="140.25">
      <c r="A170" s="318" t="s">
        <v>962</v>
      </c>
      <c r="B170" s="319" t="s">
        <v>963</v>
      </c>
      <c r="C170" s="319" t="s">
        <v>1173</v>
      </c>
      <c r="D170" s="319" t="s">
        <v>1173</v>
      </c>
      <c r="E170" s="320">
        <v>10215000</v>
      </c>
      <c r="F170" s="320">
        <v>10215000</v>
      </c>
    </row>
    <row r="171" spans="1:6" ht="38.25">
      <c r="A171" s="318" t="s">
        <v>1319</v>
      </c>
      <c r="B171" s="319" t="s">
        <v>963</v>
      </c>
      <c r="C171" s="319" t="s">
        <v>1320</v>
      </c>
      <c r="D171" s="319" t="s">
        <v>1173</v>
      </c>
      <c r="E171" s="320">
        <v>10215000</v>
      </c>
      <c r="F171" s="320">
        <v>10215000</v>
      </c>
    </row>
    <row r="172" spans="1:6" ht="38.25">
      <c r="A172" s="318" t="s">
        <v>1196</v>
      </c>
      <c r="B172" s="319" t="s">
        <v>963</v>
      </c>
      <c r="C172" s="319" t="s">
        <v>1197</v>
      </c>
      <c r="D172" s="319" t="s">
        <v>1173</v>
      </c>
      <c r="E172" s="320">
        <v>10215000</v>
      </c>
      <c r="F172" s="320">
        <v>10215000</v>
      </c>
    </row>
    <row r="173" spans="1:6">
      <c r="A173" s="318" t="s">
        <v>140</v>
      </c>
      <c r="B173" s="319" t="s">
        <v>963</v>
      </c>
      <c r="C173" s="319" t="s">
        <v>1197</v>
      </c>
      <c r="D173" s="319" t="s">
        <v>1142</v>
      </c>
      <c r="E173" s="320">
        <v>10215000</v>
      </c>
      <c r="F173" s="320">
        <v>10215000</v>
      </c>
    </row>
    <row r="174" spans="1:6">
      <c r="A174" s="318" t="s">
        <v>152</v>
      </c>
      <c r="B174" s="319" t="s">
        <v>963</v>
      </c>
      <c r="C174" s="319" t="s">
        <v>1197</v>
      </c>
      <c r="D174" s="319" t="s">
        <v>408</v>
      </c>
      <c r="E174" s="320">
        <v>10215000</v>
      </c>
      <c r="F174" s="320">
        <v>10215000</v>
      </c>
    </row>
    <row r="175" spans="1:6" ht="165.75">
      <c r="A175" s="318" t="s">
        <v>964</v>
      </c>
      <c r="B175" s="319" t="s">
        <v>965</v>
      </c>
      <c r="C175" s="319" t="s">
        <v>1173</v>
      </c>
      <c r="D175" s="319" t="s">
        <v>1173</v>
      </c>
      <c r="E175" s="320">
        <v>11244000</v>
      </c>
      <c r="F175" s="320">
        <v>11244000</v>
      </c>
    </row>
    <row r="176" spans="1:6" ht="38.25">
      <c r="A176" s="318" t="s">
        <v>1319</v>
      </c>
      <c r="B176" s="319" t="s">
        <v>965</v>
      </c>
      <c r="C176" s="319" t="s">
        <v>1320</v>
      </c>
      <c r="D176" s="319" t="s">
        <v>1173</v>
      </c>
      <c r="E176" s="320">
        <v>11244000</v>
      </c>
      <c r="F176" s="320">
        <v>11244000</v>
      </c>
    </row>
    <row r="177" spans="1:6" ht="38.25">
      <c r="A177" s="318" t="s">
        <v>1196</v>
      </c>
      <c r="B177" s="319" t="s">
        <v>965</v>
      </c>
      <c r="C177" s="319" t="s">
        <v>1197</v>
      </c>
      <c r="D177" s="319" t="s">
        <v>1173</v>
      </c>
      <c r="E177" s="320">
        <v>11244000</v>
      </c>
      <c r="F177" s="320">
        <v>11244000</v>
      </c>
    </row>
    <row r="178" spans="1:6">
      <c r="A178" s="318" t="s">
        <v>140</v>
      </c>
      <c r="B178" s="319" t="s">
        <v>965</v>
      </c>
      <c r="C178" s="319" t="s">
        <v>1197</v>
      </c>
      <c r="D178" s="319" t="s">
        <v>1142</v>
      </c>
      <c r="E178" s="320">
        <v>11244000</v>
      </c>
      <c r="F178" s="320">
        <v>11244000</v>
      </c>
    </row>
    <row r="179" spans="1:6">
      <c r="A179" s="318" t="s">
        <v>153</v>
      </c>
      <c r="B179" s="319" t="s">
        <v>965</v>
      </c>
      <c r="C179" s="319" t="s">
        <v>1197</v>
      </c>
      <c r="D179" s="319" t="s">
        <v>395</v>
      </c>
      <c r="E179" s="320">
        <v>11244000</v>
      </c>
      <c r="F179" s="320">
        <v>11244000</v>
      </c>
    </row>
    <row r="180" spans="1:6" ht="153">
      <c r="A180" s="318" t="s">
        <v>966</v>
      </c>
      <c r="B180" s="319" t="s">
        <v>967</v>
      </c>
      <c r="C180" s="319" t="s">
        <v>1173</v>
      </c>
      <c r="D180" s="319" t="s">
        <v>1173</v>
      </c>
      <c r="E180" s="320">
        <v>320560</v>
      </c>
      <c r="F180" s="320">
        <v>320560</v>
      </c>
    </row>
    <row r="181" spans="1:6" ht="38.25">
      <c r="A181" s="318" t="s">
        <v>1327</v>
      </c>
      <c r="B181" s="319" t="s">
        <v>967</v>
      </c>
      <c r="C181" s="319" t="s">
        <v>1328</v>
      </c>
      <c r="D181" s="319" t="s">
        <v>1173</v>
      </c>
      <c r="E181" s="320">
        <v>320560</v>
      </c>
      <c r="F181" s="320">
        <v>320560</v>
      </c>
    </row>
    <row r="182" spans="1:6">
      <c r="A182" s="318" t="s">
        <v>1198</v>
      </c>
      <c r="B182" s="319" t="s">
        <v>967</v>
      </c>
      <c r="C182" s="319" t="s">
        <v>1199</v>
      </c>
      <c r="D182" s="319" t="s">
        <v>1173</v>
      </c>
      <c r="E182" s="320">
        <v>320560</v>
      </c>
      <c r="F182" s="320">
        <v>320560</v>
      </c>
    </row>
    <row r="183" spans="1:6">
      <c r="A183" s="318" t="s">
        <v>140</v>
      </c>
      <c r="B183" s="319" t="s">
        <v>967</v>
      </c>
      <c r="C183" s="319" t="s">
        <v>1199</v>
      </c>
      <c r="D183" s="319" t="s">
        <v>1142</v>
      </c>
      <c r="E183" s="320">
        <v>274800</v>
      </c>
      <c r="F183" s="320">
        <v>274800</v>
      </c>
    </row>
    <row r="184" spans="1:6">
      <c r="A184" s="318" t="s">
        <v>1077</v>
      </c>
      <c r="B184" s="319" t="s">
        <v>967</v>
      </c>
      <c r="C184" s="319" t="s">
        <v>1199</v>
      </c>
      <c r="D184" s="319" t="s">
        <v>1078</v>
      </c>
      <c r="E184" s="320">
        <v>274800</v>
      </c>
      <c r="F184" s="320">
        <v>274800</v>
      </c>
    </row>
    <row r="185" spans="1:6">
      <c r="A185" s="318" t="s">
        <v>248</v>
      </c>
      <c r="B185" s="319" t="s">
        <v>967</v>
      </c>
      <c r="C185" s="319" t="s">
        <v>1199</v>
      </c>
      <c r="D185" s="319" t="s">
        <v>1144</v>
      </c>
      <c r="E185" s="320">
        <v>45760</v>
      </c>
      <c r="F185" s="320">
        <v>45760</v>
      </c>
    </row>
    <row r="186" spans="1:6">
      <c r="A186" s="318" t="s">
        <v>1228</v>
      </c>
      <c r="B186" s="319" t="s">
        <v>967</v>
      </c>
      <c r="C186" s="319" t="s">
        <v>1199</v>
      </c>
      <c r="D186" s="319" t="s">
        <v>1229</v>
      </c>
      <c r="E186" s="320">
        <v>45760</v>
      </c>
      <c r="F186" s="320">
        <v>45760</v>
      </c>
    </row>
    <row r="187" spans="1:6" ht="153">
      <c r="A187" s="318" t="s">
        <v>1151</v>
      </c>
      <c r="B187" s="319" t="s">
        <v>1152</v>
      </c>
      <c r="C187" s="319" t="s">
        <v>1173</v>
      </c>
      <c r="D187" s="319" t="s">
        <v>1173</v>
      </c>
      <c r="E187" s="320">
        <v>153000</v>
      </c>
      <c r="F187" s="320">
        <v>153000</v>
      </c>
    </row>
    <row r="188" spans="1:6" ht="38.25">
      <c r="A188" s="318" t="s">
        <v>1327</v>
      </c>
      <c r="B188" s="319" t="s">
        <v>1152</v>
      </c>
      <c r="C188" s="319" t="s">
        <v>1328</v>
      </c>
      <c r="D188" s="319" t="s">
        <v>1173</v>
      </c>
      <c r="E188" s="320">
        <v>153000</v>
      </c>
      <c r="F188" s="320">
        <v>153000</v>
      </c>
    </row>
    <row r="189" spans="1:6">
      <c r="A189" s="318" t="s">
        <v>1198</v>
      </c>
      <c r="B189" s="319" t="s">
        <v>1152</v>
      </c>
      <c r="C189" s="319" t="s">
        <v>1199</v>
      </c>
      <c r="D189" s="319" t="s">
        <v>1173</v>
      </c>
      <c r="E189" s="320">
        <v>153000</v>
      </c>
      <c r="F189" s="320">
        <v>153000</v>
      </c>
    </row>
    <row r="190" spans="1:6">
      <c r="A190" s="318" t="s">
        <v>140</v>
      </c>
      <c r="B190" s="319" t="s">
        <v>1152</v>
      </c>
      <c r="C190" s="319" t="s">
        <v>1199</v>
      </c>
      <c r="D190" s="319" t="s">
        <v>1142</v>
      </c>
      <c r="E190" s="320">
        <v>153000</v>
      </c>
      <c r="F190" s="320">
        <v>153000</v>
      </c>
    </row>
    <row r="191" spans="1:6">
      <c r="A191" s="318" t="s">
        <v>1075</v>
      </c>
      <c r="B191" s="319" t="s">
        <v>1152</v>
      </c>
      <c r="C191" s="319" t="s">
        <v>1199</v>
      </c>
      <c r="D191" s="319" t="s">
        <v>365</v>
      </c>
      <c r="E191" s="320">
        <v>153000</v>
      </c>
      <c r="F191" s="320">
        <v>153000</v>
      </c>
    </row>
    <row r="192" spans="1:6" ht="114.75">
      <c r="A192" s="318" t="s">
        <v>2094</v>
      </c>
      <c r="B192" s="319" t="s">
        <v>2095</v>
      </c>
      <c r="C192" s="319" t="s">
        <v>1173</v>
      </c>
      <c r="D192" s="319" t="s">
        <v>1173</v>
      </c>
      <c r="E192" s="320">
        <v>52309200</v>
      </c>
      <c r="F192" s="320">
        <v>0</v>
      </c>
    </row>
    <row r="193" spans="1:6" ht="76.5">
      <c r="A193" s="318" t="s">
        <v>1318</v>
      </c>
      <c r="B193" s="319" t="s">
        <v>2095</v>
      </c>
      <c r="C193" s="319" t="s">
        <v>273</v>
      </c>
      <c r="D193" s="319" t="s">
        <v>1173</v>
      </c>
      <c r="E193" s="320">
        <v>52309200</v>
      </c>
      <c r="F193" s="320">
        <v>0</v>
      </c>
    </row>
    <row r="194" spans="1:6" ht="25.5">
      <c r="A194" s="318" t="s">
        <v>1190</v>
      </c>
      <c r="B194" s="319" t="s">
        <v>2095</v>
      </c>
      <c r="C194" s="319" t="s">
        <v>133</v>
      </c>
      <c r="D194" s="319" t="s">
        <v>1173</v>
      </c>
      <c r="E194" s="320">
        <v>52309200</v>
      </c>
      <c r="F194" s="320">
        <v>0</v>
      </c>
    </row>
    <row r="195" spans="1:6">
      <c r="A195" s="318" t="s">
        <v>140</v>
      </c>
      <c r="B195" s="319" t="s">
        <v>2095</v>
      </c>
      <c r="C195" s="319" t="s">
        <v>133</v>
      </c>
      <c r="D195" s="319" t="s">
        <v>1142</v>
      </c>
      <c r="E195" s="320">
        <v>52309200</v>
      </c>
      <c r="F195" s="320">
        <v>0</v>
      </c>
    </row>
    <row r="196" spans="1:6">
      <c r="A196" s="318" t="s">
        <v>153</v>
      </c>
      <c r="B196" s="319" t="s">
        <v>2095</v>
      </c>
      <c r="C196" s="319" t="s">
        <v>133</v>
      </c>
      <c r="D196" s="319" t="s">
        <v>395</v>
      </c>
      <c r="E196" s="320">
        <v>52309200</v>
      </c>
      <c r="F196" s="320">
        <v>0</v>
      </c>
    </row>
    <row r="197" spans="1:6" ht="344.25">
      <c r="A197" s="318" t="s">
        <v>1354</v>
      </c>
      <c r="B197" s="319" t="s">
        <v>741</v>
      </c>
      <c r="C197" s="319" t="s">
        <v>1173</v>
      </c>
      <c r="D197" s="319" t="s">
        <v>1173</v>
      </c>
      <c r="E197" s="320">
        <v>90344200</v>
      </c>
      <c r="F197" s="320">
        <v>90344200</v>
      </c>
    </row>
    <row r="198" spans="1:6" ht="76.5">
      <c r="A198" s="318" t="s">
        <v>1318</v>
      </c>
      <c r="B198" s="319" t="s">
        <v>741</v>
      </c>
      <c r="C198" s="319" t="s">
        <v>273</v>
      </c>
      <c r="D198" s="319" t="s">
        <v>1173</v>
      </c>
      <c r="E198" s="320">
        <v>83019226</v>
      </c>
      <c r="F198" s="320">
        <v>83019226</v>
      </c>
    </row>
    <row r="199" spans="1:6" ht="25.5">
      <c r="A199" s="318" t="s">
        <v>1190</v>
      </c>
      <c r="B199" s="319" t="s">
        <v>741</v>
      </c>
      <c r="C199" s="319" t="s">
        <v>133</v>
      </c>
      <c r="D199" s="319" t="s">
        <v>1173</v>
      </c>
      <c r="E199" s="320">
        <v>83019226</v>
      </c>
      <c r="F199" s="320">
        <v>83019226</v>
      </c>
    </row>
    <row r="200" spans="1:6">
      <c r="A200" s="318" t="s">
        <v>140</v>
      </c>
      <c r="B200" s="319" t="s">
        <v>741</v>
      </c>
      <c r="C200" s="319" t="s">
        <v>133</v>
      </c>
      <c r="D200" s="319" t="s">
        <v>1142</v>
      </c>
      <c r="E200" s="320">
        <v>83019226</v>
      </c>
      <c r="F200" s="320">
        <v>83019226</v>
      </c>
    </row>
    <row r="201" spans="1:6">
      <c r="A201" s="318" t="s">
        <v>152</v>
      </c>
      <c r="B201" s="319" t="s">
        <v>741</v>
      </c>
      <c r="C201" s="319" t="s">
        <v>133</v>
      </c>
      <c r="D201" s="319" t="s">
        <v>408</v>
      </c>
      <c r="E201" s="320">
        <v>83019226</v>
      </c>
      <c r="F201" s="320">
        <v>83019226</v>
      </c>
    </row>
    <row r="202" spans="1:6" ht="38.25">
      <c r="A202" s="318" t="s">
        <v>1319</v>
      </c>
      <c r="B202" s="319" t="s">
        <v>741</v>
      </c>
      <c r="C202" s="319" t="s">
        <v>1320</v>
      </c>
      <c r="D202" s="319" t="s">
        <v>1173</v>
      </c>
      <c r="E202" s="320">
        <v>7324974</v>
      </c>
      <c r="F202" s="320">
        <v>7324974</v>
      </c>
    </row>
    <row r="203" spans="1:6" ht="38.25">
      <c r="A203" s="318" t="s">
        <v>1196</v>
      </c>
      <c r="B203" s="319" t="s">
        <v>741</v>
      </c>
      <c r="C203" s="319" t="s">
        <v>1197</v>
      </c>
      <c r="D203" s="319" t="s">
        <v>1173</v>
      </c>
      <c r="E203" s="320">
        <v>7324974</v>
      </c>
      <c r="F203" s="320">
        <v>7324974</v>
      </c>
    </row>
    <row r="204" spans="1:6">
      <c r="A204" s="318" t="s">
        <v>140</v>
      </c>
      <c r="B204" s="319" t="s">
        <v>741</v>
      </c>
      <c r="C204" s="319" t="s">
        <v>1197</v>
      </c>
      <c r="D204" s="319" t="s">
        <v>1142</v>
      </c>
      <c r="E204" s="320">
        <v>7324974</v>
      </c>
      <c r="F204" s="320">
        <v>7324974</v>
      </c>
    </row>
    <row r="205" spans="1:6">
      <c r="A205" s="318" t="s">
        <v>152</v>
      </c>
      <c r="B205" s="319" t="s">
        <v>741</v>
      </c>
      <c r="C205" s="319" t="s">
        <v>1197</v>
      </c>
      <c r="D205" s="319" t="s">
        <v>408</v>
      </c>
      <c r="E205" s="320">
        <v>7324974</v>
      </c>
      <c r="F205" s="320">
        <v>7324974</v>
      </c>
    </row>
    <row r="206" spans="1:6" ht="344.25">
      <c r="A206" s="318" t="s">
        <v>1356</v>
      </c>
      <c r="B206" s="319" t="s">
        <v>749</v>
      </c>
      <c r="C206" s="319" t="s">
        <v>1173</v>
      </c>
      <c r="D206" s="319" t="s">
        <v>1173</v>
      </c>
      <c r="E206" s="320">
        <v>92779300</v>
      </c>
      <c r="F206" s="320">
        <v>92779300</v>
      </c>
    </row>
    <row r="207" spans="1:6" ht="76.5">
      <c r="A207" s="318" t="s">
        <v>1318</v>
      </c>
      <c r="B207" s="319" t="s">
        <v>749</v>
      </c>
      <c r="C207" s="319" t="s">
        <v>273</v>
      </c>
      <c r="D207" s="319" t="s">
        <v>1173</v>
      </c>
      <c r="E207" s="320">
        <v>82552136</v>
      </c>
      <c r="F207" s="320">
        <v>82552136</v>
      </c>
    </row>
    <row r="208" spans="1:6" ht="25.5">
      <c r="A208" s="318" t="s">
        <v>1190</v>
      </c>
      <c r="B208" s="319" t="s">
        <v>749</v>
      </c>
      <c r="C208" s="319" t="s">
        <v>133</v>
      </c>
      <c r="D208" s="319" t="s">
        <v>1173</v>
      </c>
      <c r="E208" s="320">
        <v>82552136</v>
      </c>
      <c r="F208" s="320">
        <v>82552136</v>
      </c>
    </row>
    <row r="209" spans="1:6">
      <c r="A209" s="318" t="s">
        <v>140</v>
      </c>
      <c r="B209" s="319" t="s">
        <v>749</v>
      </c>
      <c r="C209" s="319" t="s">
        <v>133</v>
      </c>
      <c r="D209" s="319" t="s">
        <v>1142</v>
      </c>
      <c r="E209" s="320">
        <v>82552136</v>
      </c>
      <c r="F209" s="320">
        <v>82552136</v>
      </c>
    </row>
    <row r="210" spans="1:6">
      <c r="A210" s="318" t="s">
        <v>153</v>
      </c>
      <c r="B210" s="319" t="s">
        <v>749</v>
      </c>
      <c r="C210" s="319" t="s">
        <v>133</v>
      </c>
      <c r="D210" s="319" t="s">
        <v>395</v>
      </c>
      <c r="E210" s="320">
        <v>82552136</v>
      </c>
      <c r="F210" s="320">
        <v>82552136</v>
      </c>
    </row>
    <row r="211" spans="1:6" ht="38.25">
      <c r="A211" s="318" t="s">
        <v>1319</v>
      </c>
      <c r="B211" s="319" t="s">
        <v>749</v>
      </c>
      <c r="C211" s="319" t="s">
        <v>1320</v>
      </c>
      <c r="D211" s="319" t="s">
        <v>1173</v>
      </c>
      <c r="E211" s="320">
        <v>10227164</v>
      </c>
      <c r="F211" s="320">
        <v>10227164</v>
      </c>
    </row>
    <row r="212" spans="1:6" ht="38.25">
      <c r="A212" s="318" t="s">
        <v>1196</v>
      </c>
      <c r="B212" s="319" t="s">
        <v>749</v>
      </c>
      <c r="C212" s="319" t="s">
        <v>1197</v>
      </c>
      <c r="D212" s="319" t="s">
        <v>1173</v>
      </c>
      <c r="E212" s="320">
        <v>10227164</v>
      </c>
      <c r="F212" s="320">
        <v>10227164</v>
      </c>
    </row>
    <row r="213" spans="1:6">
      <c r="A213" s="318" t="s">
        <v>140</v>
      </c>
      <c r="B213" s="319" t="s">
        <v>749</v>
      </c>
      <c r="C213" s="319" t="s">
        <v>1197</v>
      </c>
      <c r="D213" s="319" t="s">
        <v>1142</v>
      </c>
      <c r="E213" s="320">
        <v>10227164</v>
      </c>
      <c r="F213" s="320">
        <v>10227164</v>
      </c>
    </row>
    <row r="214" spans="1:6">
      <c r="A214" s="318" t="s">
        <v>153</v>
      </c>
      <c r="B214" s="319" t="s">
        <v>749</v>
      </c>
      <c r="C214" s="319" t="s">
        <v>1197</v>
      </c>
      <c r="D214" s="319" t="s">
        <v>395</v>
      </c>
      <c r="E214" s="320">
        <v>10227164</v>
      </c>
      <c r="F214" s="320">
        <v>10227164</v>
      </c>
    </row>
    <row r="215" spans="1:6" ht="216.75">
      <c r="A215" s="318" t="s">
        <v>1360</v>
      </c>
      <c r="B215" s="319" t="s">
        <v>785</v>
      </c>
      <c r="C215" s="319" t="s">
        <v>1173</v>
      </c>
      <c r="D215" s="319" t="s">
        <v>1173</v>
      </c>
      <c r="E215" s="320">
        <v>817000</v>
      </c>
      <c r="F215" s="320">
        <v>817000</v>
      </c>
    </row>
    <row r="216" spans="1:6" ht="38.25">
      <c r="A216" s="318" t="s">
        <v>1319</v>
      </c>
      <c r="B216" s="319" t="s">
        <v>785</v>
      </c>
      <c r="C216" s="319" t="s">
        <v>1320</v>
      </c>
      <c r="D216" s="319" t="s">
        <v>1173</v>
      </c>
      <c r="E216" s="320">
        <v>817000</v>
      </c>
      <c r="F216" s="320">
        <v>817000</v>
      </c>
    </row>
    <row r="217" spans="1:6" ht="38.25">
      <c r="A217" s="318" t="s">
        <v>1196</v>
      </c>
      <c r="B217" s="319" t="s">
        <v>785</v>
      </c>
      <c r="C217" s="319" t="s">
        <v>1197</v>
      </c>
      <c r="D217" s="319" t="s">
        <v>1173</v>
      </c>
      <c r="E217" s="320">
        <v>817000</v>
      </c>
      <c r="F217" s="320">
        <v>817000</v>
      </c>
    </row>
    <row r="218" spans="1:6">
      <c r="A218" s="318" t="s">
        <v>141</v>
      </c>
      <c r="B218" s="319" t="s">
        <v>785</v>
      </c>
      <c r="C218" s="319" t="s">
        <v>1197</v>
      </c>
      <c r="D218" s="319" t="s">
        <v>1143</v>
      </c>
      <c r="E218" s="320">
        <v>817000</v>
      </c>
      <c r="F218" s="320">
        <v>817000</v>
      </c>
    </row>
    <row r="219" spans="1:6">
      <c r="A219" s="318" t="s">
        <v>98</v>
      </c>
      <c r="B219" s="319" t="s">
        <v>785</v>
      </c>
      <c r="C219" s="319" t="s">
        <v>1197</v>
      </c>
      <c r="D219" s="319" t="s">
        <v>378</v>
      </c>
      <c r="E219" s="320">
        <v>817000</v>
      </c>
      <c r="F219" s="320">
        <v>817000</v>
      </c>
    </row>
    <row r="220" spans="1:6" ht="153">
      <c r="A220" s="318" t="s">
        <v>1362</v>
      </c>
      <c r="B220" s="319" t="s">
        <v>787</v>
      </c>
      <c r="C220" s="319" t="s">
        <v>1173</v>
      </c>
      <c r="D220" s="319" t="s">
        <v>1173</v>
      </c>
      <c r="E220" s="320">
        <v>3904400</v>
      </c>
      <c r="F220" s="320">
        <v>3904400</v>
      </c>
    </row>
    <row r="221" spans="1:6" ht="38.25">
      <c r="A221" s="318" t="s">
        <v>1319</v>
      </c>
      <c r="B221" s="319" t="s">
        <v>787</v>
      </c>
      <c r="C221" s="319" t="s">
        <v>1320</v>
      </c>
      <c r="D221" s="319" t="s">
        <v>1173</v>
      </c>
      <c r="E221" s="320">
        <v>10000</v>
      </c>
      <c r="F221" s="320">
        <v>10000</v>
      </c>
    </row>
    <row r="222" spans="1:6" ht="38.25">
      <c r="A222" s="318" t="s">
        <v>1196</v>
      </c>
      <c r="B222" s="319" t="s">
        <v>787</v>
      </c>
      <c r="C222" s="319" t="s">
        <v>1197</v>
      </c>
      <c r="D222" s="319" t="s">
        <v>1173</v>
      </c>
      <c r="E222" s="320">
        <v>10000</v>
      </c>
      <c r="F222" s="320">
        <v>10000</v>
      </c>
    </row>
    <row r="223" spans="1:6">
      <c r="A223" s="318" t="s">
        <v>141</v>
      </c>
      <c r="B223" s="319" t="s">
        <v>787</v>
      </c>
      <c r="C223" s="319" t="s">
        <v>1197</v>
      </c>
      <c r="D223" s="319" t="s">
        <v>1143</v>
      </c>
      <c r="E223" s="320">
        <v>10000</v>
      </c>
      <c r="F223" s="320">
        <v>10000</v>
      </c>
    </row>
    <row r="224" spans="1:6">
      <c r="A224" s="318" t="s">
        <v>18</v>
      </c>
      <c r="B224" s="319" t="s">
        <v>787</v>
      </c>
      <c r="C224" s="319" t="s">
        <v>1197</v>
      </c>
      <c r="D224" s="319" t="s">
        <v>423</v>
      </c>
      <c r="E224" s="320">
        <v>10000</v>
      </c>
      <c r="F224" s="320">
        <v>10000</v>
      </c>
    </row>
    <row r="225" spans="1:6" ht="25.5">
      <c r="A225" s="318" t="s">
        <v>1323</v>
      </c>
      <c r="B225" s="319" t="s">
        <v>787</v>
      </c>
      <c r="C225" s="319" t="s">
        <v>1324</v>
      </c>
      <c r="D225" s="319" t="s">
        <v>1173</v>
      </c>
      <c r="E225" s="320">
        <v>3894400</v>
      </c>
      <c r="F225" s="320">
        <v>3894400</v>
      </c>
    </row>
    <row r="226" spans="1:6" ht="38.25">
      <c r="A226" s="318" t="s">
        <v>1200</v>
      </c>
      <c r="B226" s="319" t="s">
        <v>787</v>
      </c>
      <c r="C226" s="319" t="s">
        <v>557</v>
      </c>
      <c r="D226" s="319" t="s">
        <v>1173</v>
      </c>
      <c r="E226" s="320">
        <v>3894400</v>
      </c>
      <c r="F226" s="320">
        <v>3894400</v>
      </c>
    </row>
    <row r="227" spans="1:6">
      <c r="A227" s="318" t="s">
        <v>141</v>
      </c>
      <c r="B227" s="319" t="s">
        <v>787</v>
      </c>
      <c r="C227" s="319" t="s">
        <v>557</v>
      </c>
      <c r="D227" s="319" t="s">
        <v>1143</v>
      </c>
      <c r="E227" s="320">
        <v>3894400</v>
      </c>
      <c r="F227" s="320">
        <v>3894400</v>
      </c>
    </row>
    <row r="228" spans="1:6">
      <c r="A228" s="318" t="s">
        <v>18</v>
      </c>
      <c r="B228" s="319" t="s">
        <v>787</v>
      </c>
      <c r="C228" s="319" t="s">
        <v>557</v>
      </c>
      <c r="D228" s="319" t="s">
        <v>423</v>
      </c>
      <c r="E228" s="320">
        <v>3894400</v>
      </c>
      <c r="F228" s="320">
        <v>3894400</v>
      </c>
    </row>
    <row r="229" spans="1:6" ht="331.5">
      <c r="A229" s="318" t="s">
        <v>1357</v>
      </c>
      <c r="B229" s="319" t="s">
        <v>747</v>
      </c>
      <c r="C229" s="319" t="s">
        <v>1173</v>
      </c>
      <c r="D229" s="319" t="s">
        <v>1173</v>
      </c>
      <c r="E229" s="320">
        <v>386185600</v>
      </c>
      <c r="F229" s="320">
        <v>386185600</v>
      </c>
    </row>
    <row r="230" spans="1:6" ht="76.5">
      <c r="A230" s="318" t="s">
        <v>1318</v>
      </c>
      <c r="B230" s="319" t="s">
        <v>747</v>
      </c>
      <c r="C230" s="319" t="s">
        <v>273</v>
      </c>
      <c r="D230" s="319" t="s">
        <v>1173</v>
      </c>
      <c r="E230" s="320">
        <v>341920852</v>
      </c>
      <c r="F230" s="320">
        <v>341920852</v>
      </c>
    </row>
    <row r="231" spans="1:6" ht="25.5">
      <c r="A231" s="318" t="s">
        <v>1190</v>
      </c>
      <c r="B231" s="319" t="s">
        <v>747</v>
      </c>
      <c r="C231" s="319" t="s">
        <v>133</v>
      </c>
      <c r="D231" s="319" t="s">
        <v>1173</v>
      </c>
      <c r="E231" s="320">
        <v>341920852</v>
      </c>
      <c r="F231" s="320">
        <v>341920852</v>
      </c>
    </row>
    <row r="232" spans="1:6">
      <c r="A232" s="318" t="s">
        <v>140</v>
      </c>
      <c r="B232" s="319" t="s">
        <v>747</v>
      </c>
      <c r="C232" s="319" t="s">
        <v>133</v>
      </c>
      <c r="D232" s="319" t="s">
        <v>1142</v>
      </c>
      <c r="E232" s="320">
        <v>341920852</v>
      </c>
      <c r="F232" s="320">
        <v>341920852</v>
      </c>
    </row>
    <row r="233" spans="1:6">
      <c r="A233" s="318" t="s">
        <v>153</v>
      </c>
      <c r="B233" s="319" t="s">
        <v>747</v>
      </c>
      <c r="C233" s="319" t="s">
        <v>133</v>
      </c>
      <c r="D233" s="319" t="s">
        <v>395</v>
      </c>
      <c r="E233" s="320">
        <v>336421204</v>
      </c>
      <c r="F233" s="320">
        <v>336421204</v>
      </c>
    </row>
    <row r="234" spans="1:6">
      <c r="A234" s="318" t="s">
        <v>1077</v>
      </c>
      <c r="B234" s="319" t="s">
        <v>747</v>
      </c>
      <c r="C234" s="319" t="s">
        <v>133</v>
      </c>
      <c r="D234" s="319" t="s">
        <v>1078</v>
      </c>
      <c r="E234" s="320">
        <v>5499648</v>
      </c>
      <c r="F234" s="320">
        <v>5499648</v>
      </c>
    </row>
    <row r="235" spans="1:6" ht="38.25">
      <c r="A235" s="318" t="s">
        <v>1319</v>
      </c>
      <c r="B235" s="319" t="s">
        <v>747</v>
      </c>
      <c r="C235" s="319" t="s">
        <v>1320</v>
      </c>
      <c r="D235" s="319" t="s">
        <v>1173</v>
      </c>
      <c r="E235" s="320">
        <v>44264748</v>
      </c>
      <c r="F235" s="320">
        <v>44264748</v>
      </c>
    </row>
    <row r="236" spans="1:6" ht="38.25">
      <c r="A236" s="318" t="s">
        <v>1196</v>
      </c>
      <c r="B236" s="319" t="s">
        <v>747</v>
      </c>
      <c r="C236" s="319" t="s">
        <v>1197</v>
      </c>
      <c r="D236" s="319" t="s">
        <v>1173</v>
      </c>
      <c r="E236" s="320">
        <v>44264748</v>
      </c>
      <c r="F236" s="320">
        <v>44264748</v>
      </c>
    </row>
    <row r="237" spans="1:6">
      <c r="A237" s="318" t="s">
        <v>140</v>
      </c>
      <c r="B237" s="319" t="s">
        <v>747</v>
      </c>
      <c r="C237" s="319" t="s">
        <v>1197</v>
      </c>
      <c r="D237" s="319" t="s">
        <v>1142</v>
      </c>
      <c r="E237" s="320">
        <v>44264748</v>
      </c>
      <c r="F237" s="320">
        <v>44264748</v>
      </c>
    </row>
    <row r="238" spans="1:6">
      <c r="A238" s="318" t="s">
        <v>153</v>
      </c>
      <c r="B238" s="319" t="s">
        <v>747</v>
      </c>
      <c r="C238" s="319" t="s">
        <v>1197</v>
      </c>
      <c r="D238" s="319" t="s">
        <v>395</v>
      </c>
      <c r="E238" s="320">
        <v>33956596</v>
      </c>
      <c r="F238" s="320">
        <v>33956596</v>
      </c>
    </row>
    <row r="239" spans="1:6">
      <c r="A239" s="318" t="s">
        <v>1077</v>
      </c>
      <c r="B239" s="319" t="s">
        <v>747</v>
      </c>
      <c r="C239" s="319" t="s">
        <v>1197</v>
      </c>
      <c r="D239" s="319" t="s">
        <v>1078</v>
      </c>
      <c r="E239" s="320">
        <v>10308152</v>
      </c>
      <c r="F239" s="320">
        <v>10308152</v>
      </c>
    </row>
    <row r="240" spans="1:6" ht="165.75">
      <c r="A240" s="318" t="s">
        <v>1361</v>
      </c>
      <c r="B240" s="319" t="s">
        <v>786</v>
      </c>
      <c r="C240" s="319" t="s">
        <v>1173</v>
      </c>
      <c r="D240" s="319" t="s">
        <v>1173</v>
      </c>
      <c r="E240" s="320">
        <v>25151300</v>
      </c>
      <c r="F240" s="320">
        <v>25151300</v>
      </c>
    </row>
    <row r="241" spans="1:6" ht="38.25">
      <c r="A241" s="318" t="s">
        <v>1319</v>
      </c>
      <c r="B241" s="319" t="s">
        <v>786</v>
      </c>
      <c r="C241" s="319" t="s">
        <v>1320</v>
      </c>
      <c r="D241" s="319" t="s">
        <v>1173</v>
      </c>
      <c r="E241" s="320">
        <v>24006300</v>
      </c>
      <c r="F241" s="320">
        <v>24006300</v>
      </c>
    </row>
    <row r="242" spans="1:6" ht="38.25">
      <c r="A242" s="318" t="s">
        <v>1196</v>
      </c>
      <c r="B242" s="319" t="s">
        <v>786</v>
      </c>
      <c r="C242" s="319" t="s">
        <v>1197</v>
      </c>
      <c r="D242" s="319" t="s">
        <v>1173</v>
      </c>
      <c r="E242" s="320">
        <v>24006300</v>
      </c>
      <c r="F242" s="320">
        <v>24006300</v>
      </c>
    </row>
    <row r="243" spans="1:6">
      <c r="A243" s="318" t="s">
        <v>141</v>
      </c>
      <c r="B243" s="319" t="s">
        <v>786</v>
      </c>
      <c r="C243" s="319" t="s">
        <v>1197</v>
      </c>
      <c r="D243" s="319" t="s">
        <v>1143</v>
      </c>
      <c r="E243" s="320">
        <v>24006300</v>
      </c>
      <c r="F243" s="320">
        <v>24006300</v>
      </c>
    </row>
    <row r="244" spans="1:6">
      <c r="A244" s="318" t="s">
        <v>98</v>
      </c>
      <c r="B244" s="319" t="s">
        <v>786</v>
      </c>
      <c r="C244" s="319" t="s">
        <v>1197</v>
      </c>
      <c r="D244" s="319" t="s">
        <v>378</v>
      </c>
      <c r="E244" s="320">
        <v>24006300</v>
      </c>
      <c r="F244" s="320">
        <v>24006300</v>
      </c>
    </row>
    <row r="245" spans="1:6" ht="25.5">
      <c r="A245" s="318" t="s">
        <v>1323</v>
      </c>
      <c r="B245" s="319" t="s">
        <v>786</v>
      </c>
      <c r="C245" s="319" t="s">
        <v>1324</v>
      </c>
      <c r="D245" s="319" t="s">
        <v>1173</v>
      </c>
      <c r="E245" s="320">
        <v>1145000</v>
      </c>
      <c r="F245" s="320">
        <v>1145000</v>
      </c>
    </row>
    <row r="246" spans="1:6" ht="38.25">
      <c r="A246" s="318" t="s">
        <v>1200</v>
      </c>
      <c r="B246" s="319" t="s">
        <v>786</v>
      </c>
      <c r="C246" s="319" t="s">
        <v>557</v>
      </c>
      <c r="D246" s="319" t="s">
        <v>1173</v>
      </c>
      <c r="E246" s="320">
        <v>1145000</v>
      </c>
      <c r="F246" s="320">
        <v>1145000</v>
      </c>
    </row>
    <row r="247" spans="1:6">
      <c r="A247" s="318" t="s">
        <v>141</v>
      </c>
      <c r="B247" s="319" t="s">
        <v>786</v>
      </c>
      <c r="C247" s="319" t="s">
        <v>557</v>
      </c>
      <c r="D247" s="319" t="s">
        <v>1143</v>
      </c>
      <c r="E247" s="320">
        <v>1145000</v>
      </c>
      <c r="F247" s="320">
        <v>1145000</v>
      </c>
    </row>
    <row r="248" spans="1:6">
      <c r="A248" s="318" t="s">
        <v>98</v>
      </c>
      <c r="B248" s="319" t="s">
        <v>786</v>
      </c>
      <c r="C248" s="319" t="s">
        <v>557</v>
      </c>
      <c r="D248" s="319" t="s">
        <v>378</v>
      </c>
      <c r="E248" s="320">
        <v>1145000</v>
      </c>
      <c r="F248" s="320">
        <v>1145000</v>
      </c>
    </row>
    <row r="249" spans="1:6" ht="344.25">
      <c r="A249" s="318" t="s">
        <v>1355</v>
      </c>
      <c r="B249" s="319" t="s">
        <v>739</v>
      </c>
      <c r="C249" s="319" t="s">
        <v>1173</v>
      </c>
      <c r="D249" s="319" t="s">
        <v>1173</v>
      </c>
      <c r="E249" s="320">
        <v>151897400</v>
      </c>
      <c r="F249" s="320">
        <v>151897400</v>
      </c>
    </row>
    <row r="250" spans="1:6" ht="76.5">
      <c r="A250" s="318" t="s">
        <v>1318</v>
      </c>
      <c r="B250" s="319" t="s">
        <v>739</v>
      </c>
      <c r="C250" s="319" t="s">
        <v>273</v>
      </c>
      <c r="D250" s="319" t="s">
        <v>1173</v>
      </c>
      <c r="E250" s="320">
        <v>138335290</v>
      </c>
      <c r="F250" s="320">
        <v>138335290</v>
      </c>
    </row>
    <row r="251" spans="1:6" ht="25.5">
      <c r="A251" s="318" t="s">
        <v>1190</v>
      </c>
      <c r="B251" s="319" t="s">
        <v>739</v>
      </c>
      <c r="C251" s="319" t="s">
        <v>133</v>
      </c>
      <c r="D251" s="319" t="s">
        <v>1173</v>
      </c>
      <c r="E251" s="320">
        <v>138335290</v>
      </c>
      <c r="F251" s="320">
        <v>138335290</v>
      </c>
    </row>
    <row r="252" spans="1:6">
      <c r="A252" s="318" t="s">
        <v>140</v>
      </c>
      <c r="B252" s="319" t="s">
        <v>739</v>
      </c>
      <c r="C252" s="319" t="s">
        <v>133</v>
      </c>
      <c r="D252" s="319" t="s">
        <v>1142</v>
      </c>
      <c r="E252" s="320">
        <v>138335290</v>
      </c>
      <c r="F252" s="320">
        <v>138335290</v>
      </c>
    </row>
    <row r="253" spans="1:6">
      <c r="A253" s="318" t="s">
        <v>152</v>
      </c>
      <c r="B253" s="319" t="s">
        <v>739</v>
      </c>
      <c r="C253" s="319" t="s">
        <v>133</v>
      </c>
      <c r="D253" s="319" t="s">
        <v>408</v>
      </c>
      <c r="E253" s="320">
        <v>138335290</v>
      </c>
      <c r="F253" s="320">
        <v>138335290</v>
      </c>
    </row>
    <row r="254" spans="1:6" ht="38.25">
      <c r="A254" s="318" t="s">
        <v>1319</v>
      </c>
      <c r="B254" s="319" t="s">
        <v>739</v>
      </c>
      <c r="C254" s="319" t="s">
        <v>1320</v>
      </c>
      <c r="D254" s="319" t="s">
        <v>1173</v>
      </c>
      <c r="E254" s="320">
        <v>13562110</v>
      </c>
      <c r="F254" s="320">
        <v>13562110</v>
      </c>
    </row>
    <row r="255" spans="1:6" ht="38.25">
      <c r="A255" s="318" t="s">
        <v>1196</v>
      </c>
      <c r="B255" s="319" t="s">
        <v>739</v>
      </c>
      <c r="C255" s="319" t="s">
        <v>1197</v>
      </c>
      <c r="D255" s="319" t="s">
        <v>1173</v>
      </c>
      <c r="E255" s="320">
        <v>13562110</v>
      </c>
      <c r="F255" s="320">
        <v>13562110</v>
      </c>
    </row>
    <row r="256" spans="1:6">
      <c r="A256" s="318" t="s">
        <v>140</v>
      </c>
      <c r="B256" s="319" t="s">
        <v>739</v>
      </c>
      <c r="C256" s="319" t="s">
        <v>1197</v>
      </c>
      <c r="D256" s="319" t="s">
        <v>1142</v>
      </c>
      <c r="E256" s="320">
        <v>13562110</v>
      </c>
      <c r="F256" s="320">
        <v>13562110</v>
      </c>
    </row>
    <row r="257" spans="1:6">
      <c r="A257" s="318" t="s">
        <v>152</v>
      </c>
      <c r="B257" s="319" t="s">
        <v>739</v>
      </c>
      <c r="C257" s="319" t="s">
        <v>1197</v>
      </c>
      <c r="D257" s="319" t="s">
        <v>408</v>
      </c>
      <c r="E257" s="320">
        <v>13562110</v>
      </c>
      <c r="F257" s="320">
        <v>13562110</v>
      </c>
    </row>
    <row r="258" spans="1:6" ht="102">
      <c r="A258" s="318" t="s">
        <v>1188</v>
      </c>
      <c r="B258" s="319" t="s">
        <v>1189</v>
      </c>
      <c r="C258" s="319" t="s">
        <v>1173</v>
      </c>
      <c r="D258" s="319" t="s">
        <v>1173</v>
      </c>
      <c r="E258" s="320">
        <v>11850300</v>
      </c>
      <c r="F258" s="320">
        <v>11850300</v>
      </c>
    </row>
    <row r="259" spans="1:6" ht="38.25">
      <c r="A259" s="318" t="s">
        <v>1319</v>
      </c>
      <c r="B259" s="319" t="s">
        <v>1189</v>
      </c>
      <c r="C259" s="319" t="s">
        <v>1320</v>
      </c>
      <c r="D259" s="319" t="s">
        <v>1173</v>
      </c>
      <c r="E259" s="320">
        <v>7633100</v>
      </c>
      <c r="F259" s="320">
        <v>7633100</v>
      </c>
    </row>
    <row r="260" spans="1:6" ht="38.25">
      <c r="A260" s="318" t="s">
        <v>1196</v>
      </c>
      <c r="B260" s="319" t="s">
        <v>1189</v>
      </c>
      <c r="C260" s="319" t="s">
        <v>1197</v>
      </c>
      <c r="D260" s="319" t="s">
        <v>1173</v>
      </c>
      <c r="E260" s="320">
        <v>7633100</v>
      </c>
      <c r="F260" s="320">
        <v>7633100</v>
      </c>
    </row>
    <row r="261" spans="1:6">
      <c r="A261" s="318" t="s">
        <v>140</v>
      </c>
      <c r="B261" s="319" t="s">
        <v>1189</v>
      </c>
      <c r="C261" s="319" t="s">
        <v>1197</v>
      </c>
      <c r="D261" s="319" t="s">
        <v>1142</v>
      </c>
      <c r="E261" s="320">
        <v>7633100</v>
      </c>
      <c r="F261" s="320">
        <v>7633100</v>
      </c>
    </row>
    <row r="262" spans="1:6">
      <c r="A262" s="318" t="s">
        <v>1075</v>
      </c>
      <c r="B262" s="319" t="s">
        <v>1189</v>
      </c>
      <c r="C262" s="319" t="s">
        <v>1197</v>
      </c>
      <c r="D262" s="319" t="s">
        <v>365</v>
      </c>
      <c r="E262" s="320">
        <v>7633100</v>
      </c>
      <c r="F262" s="320">
        <v>7633100</v>
      </c>
    </row>
    <row r="263" spans="1:6" ht="38.25">
      <c r="A263" s="318" t="s">
        <v>1327</v>
      </c>
      <c r="B263" s="319" t="s">
        <v>1189</v>
      </c>
      <c r="C263" s="319" t="s">
        <v>1328</v>
      </c>
      <c r="D263" s="319" t="s">
        <v>1173</v>
      </c>
      <c r="E263" s="320">
        <v>4217200</v>
      </c>
      <c r="F263" s="320">
        <v>4217200</v>
      </c>
    </row>
    <row r="264" spans="1:6">
      <c r="A264" s="318" t="s">
        <v>1198</v>
      </c>
      <c r="B264" s="319" t="s">
        <v>1189</v>
      </c>
      <c r="C264" s="319" t="s">
        <v>1199</v>
      </c>
      <c r="D264" s="319" t="s">
        <v>1173</v>
      </c>
      <c r="E264" s="320">
        <v>4217200</v>
      </c>
      <c r="F264" s="320">
        <v>4217200</v>
      </c>
    </row>
    <row r="265" spans="1:6">
      <c r="A265" s="318" t="s">
        <v>140</v>
      </c>
      <c r="B265" s="319" t="s">
        <v>1189</v>
      </c>
      <c r="C265" s="319" t="s">
        <v>1199</v>
      </c>
      <c r="D265" s="319" t="s">
        <v>1142</v>
      </c>
      <c r="E265" s="320">
        <v>4217200</v>
      </c>
      <c r="F265" s="320">
        <v>4217200</v>
      </c>
    </row>
    <row r="266" spans="1:6">
      <c r="A266" s="318" t="s">
        <v>1075</v>
      </c>
      <c r="B266" s="319" t="s">
        <v>1189</v>
      </c>
      <c r="C266" s="319" t="s">
        <v>1199</v>
      </c>
      <c r="D266" s="319" t="s">
        <v>365</v>
      </c>
      <c r="E266" s="320">
        <v>4217200</v>
      </c>
      <c r="F266" s="320">
        <v>4217200</v>
      </c>
    </row>
    <row r="267" spans="1:6" ht="89.25">
      <c r="A267" s="318" t="s">
        <v>411</v>
      </c>
      <c r="B267" s="319" t="s">
        <v>761</v>
      </c>
      <c r="C267" s="319" t="s">
        <v>1173</v>
      </c>
      <c r="D267" s="319" t="s">
        <v>1173</v>
      </c>
      <c r="E267" s="320">
        <v>1020000</v>
      </c>
      <c r="F267" s="320">
        <v>1020000</v>
      </c>
    </row>
    <row r="268" spans="1:6" ht="38.25">
      <c r="A268" s="318" t="s">
        <v>1319</v>
      </c>
      <c r="B268" s="319" t="s">
        <v>761</v>
      </c>
      <c r="C268" s="319" t="s">
        <v>1320</v>
      </c>
      <c r="D268" s="319" t="s">
        <v>1173</v>
      </c>
      <c r="E268" s="320">
        <v>1020000</v>
      </c>
      <c r="F268" s="320">
        <v>1020000</v>
      </c>
    </row>
    <row r="269" spans="1:6" ht="38.25">
      <c r="A269" s="318" t="s">
        <v>1196</v>
      </c>
      <c r="B269" s="319" t="s">
        <v>761</v>
      </c>
      <c r="C269" s="319" t="s">
        <v>1197</v>
      </c>
      <c r="D269" s="319" t="s">
        <v>1173</v>
      </c>
      <c r="E269" s="320">
        <v>1020000</v>
      </c>
      <c r="F269" s="320">
        <v>1020000</v>
      </c>
    </row>
    <row r="270" spans="1:6">
      <c r="A270" s="318" t="s">
        <v>140</v>
      </c>
      <c r="B270" s="319" t="s">
        <v>761</v>
      </c>
      <c r="C270" s="319" t="s">
        <v>1197</v>
      </c>
      <c r="D270" s="319" t="s">
        <v>1142</v>
      </c>
      <c r="E270" s="320">
        <v>1020000</v>
      </c>
      <c r="F270" s="320">
        <v>1020000</v>
      </c>
    </row>
    <row r="271" spans="1:6">
      <c r="A271" s="318" t="s">
        <v>153</v>
      </c>
      <c r="B271" s="319" t="s">
        <v>761</v>
      </c>
      <c r="C271" s="319" t="s">
        <v>1197</v>
      </c>
      <c r="D271" s="319" t="s">
        <v>395</v>
      </c>
      <c r="E271" s="320">
        <v>800000</v>
      </c>
      <c r="F271" s="320">
        <v>800000</v>
      </c>
    </row>
    <row r="272" spans="1:6">
      <c r="A272" s="318" t="s">
        <v>4</v>
      </c>
      <c r="B272" s="319" t="s">
        <v>761</v>
      </c>
      <c r="C272" s="319" t="s">
        <v>1197</v>
      </c>
      <c r="D272" s="319" t="s">
        <v>420</v>
      </c>
      <c r="E272" s="320">
        <v>220000</v>
      </c>
      <c r="F272" s="320">
        <v>220000</v>
      </c>
    </row>
    <row r="273" spans="1:6" ht="89.25">
      <c r="A273" s="318" t="s">
        <v>393</v>
      </c>
      <c r="B273" s="319" t="s">
        <v>776</v>
      </c>
      <c r="C273" s="319" t="s">
        <v>1173</v>
      </c>
      <c r="D273" s="319" t="s">
        <v>1173</v>
      </c>
      <c r="E273" s="320">
        <v>2511500</v>
      </c>
      <c r="F273" s="320">
        <v>2511500</v>
      </c>
    </row>
    <row r="274" spans="1:6" ht="38.25">
      <c r="A274" s="318" t="s">
        <v>1319</v>
      </c>
      <c r="B274" s="319" t="s">
        <v>776</v>
      </c>
      <c r="C274" s="319" t="s">
        <v>1320</v>
      </c>
      <c r="D274" s="319" t="s">
        <v>1173</v>
      </c>
      <c r="E274" s="320">
        <v>1246500</v>
      </c>
      <c r="F274" s="320">
        <v>1246500</v>
      </c>
    </row>
    <row r="275" spans="1:6" ht="38.25">
      <c r="A275" s="318" t="s">
        <v>1196</v>
      </c>
      <c r="B275" s="319" t="s">
        <v>776</v>
      </c>
      <c r="C275" s="319" t="s">
        <v>1197</v>
      </c>
      <c r="D275" s="319" t="s">
        <v>1173</v>
      </c>
      <c r="E275" s="320">
        <v>1246500</v>
      </c>
      <c r="F275" s="320">
        <v>1246500</v>
      </c>
    </row>
    <row r="276" spans="1:6">
      <c r="A276" s="318" t="s">
        <v>140</v>
      </c>
      <c r="B276" s="319" t="s">
        <v>776</v>
      </c>
      <c r="C276" s="319" t="s">
        <v>1197</v>
      </c>
      <c r="D276" s="319" t="s">
        <v>1142</v>
      </c>
      <c r="E276" s="320">
        <v>1246500</v>
      </c>
      <c r="F276" s="320">
        <v>1246500</v>
      </c>
    </row>
    <row r="277" spans="1:6">
      <c r="A277" s="318" t="s">
        <v>1075</v>
      </c>
      <c r="B277" s="319" t="s">
        <v>776</v>
      </c>
      <c r="C277" s="319" t="s">
        <v>1197</v>
      </c>
      <c r="D277" s="319" t="s">
        <v>365</v>
      </c>
      <c r="E277" s="320">
        <v>1246500</v>
      </c>
      <c r="F277" s="320">
        <v>1246500</v>
      </c>
    </row>
    <row r="278" spans="1:6" ht="38.25">
      <c r="A278" s="318" t="s">
        <v>1327</v>
      </c>
      <c r="B278" s="319" t="s">
        <v>776</v>
      </c>
      <c r="C278" s="319" t="s">
        <v>1328</v>
      </c>
      <c r="D278" s="319" t="s">
        <v>1173</v>
      </c>
      <c r="E278" s="320">
        <v>1265000</v>
      </c>
      <c r="F278" s="320">
        <v>1265000</v>
      </c>
    </row>
    <row r="279" spans="1:6">
      <c r="A279" s="318" t="s">
        <v>1198</v>
      </c>
      <c r="B279" s="319" t="s">
        <v>776</v>
      </c>
      <c r="C279" s="319" t="s">
        <v>1199</v>
      </c>
      <c r="D279" s="319" t="s">
        <v>1173</v>
      </c>
      <c r="E279" s="320">
        <v>1265000</v>
      </c>
      <c r="F279" s="320">
        <v>1265000</v>
      </c>
    </row>
    <row r="280" spans="1:6">
      <c r="A280" s="318" t="s">
        <v>140</v>
      </c>
      <c r="B280" s="319" t="s">
        <v>776</v>
      </c>
      <c r="C280" s="319" t="s">
        <v>1199</v>
      </c>
      <c r="D280" s="319" t="s">
        <v>1142</v>
      </c>
      <c r="E280" s="320">
        <v>1265000</v>
      </c>
      <c r="F280" s="320">
        <v>1265000</v>
      </c>
    </row>
    <row r="281" spans="1:6">
      <c r="A281" s="318" t="s">
        <v>1075</v>
      </c>
      <c r="B281" s="319" t="s">
        <v>776</v>
      </c>
      <c r="C281" s="319" t="s">
        <v>1199</v>
      </c>
      <c r="D281" s="319" t="s">
        <v>365</v>
      </c>
      <c r="E281" s="320">
        <v>1265000</v>
      </c>
      <c r="F281" s="320">
        <v>1265000</v>
      </c>
    </row>
    <row r="282" spans="1:6" ht="89.25">
      <c r="A282" s="318" t="s">
        <v>533</v>
      </c>
      <c r="B282" s="319" t="s">
        <v>764</v>
      </c>
      <c r="C282" s="319" t="s">
        <v>1173</v>
      </c>
      <c r="D282" s="319" t="s">
        <v>1173</v>
      </c>
      <c r="E282" s="320">
        <v>187200</v>
      </c>
      <c r="F282" s="320">
        <v>187200</v>
      </c>
    </row>
    <row r="283" spans="1:6" ht="25.5">
      <c r="A283" s="318" t="s">
        <v>1323</v>
      </c>
      <c r="B283" s="319" t="s">
        <v>764</v>
      </c>
      <c r="C283" s="319" t="s">
        <v>1324</v>
      </c>
      <c r="D283" s="319" t="s">
        <v>1173</v>
      </c>
      <c r="E283" s="320">
        <v>187200</v>
      </c>
      <c r="F283" s="320">
        <v>187200</v>
      </c>
    </row>
    <row r="284" spans="1:6">
      <c r="A284" s="318" t="s">
        <v>1811</v>
      </c>
      <c r="B284" s="319" t="s">
        <v>764</v>
      </c>
      <c r="C284" s="319" t="s">
        <v>1812</v>
      </c>
      <c r="D284" s="319" t="s">
        <v>1173</v>
      </c>
      <c r="E284" s="320">
        <v>187200</v>
      </c>
      <c r="F284" s="320">
        <v>187200</v>
      </c>
    </row>
    <row r="285" spans="1:6">
      <c r="A285" s="318" t="s">
        <v>140</v>
      </c>
      <c r="B285" s="319" t="s">
        <v>764</v>
      </c>
      <c r="C285" s="319" t="s">
        <v>1812</v>
      </c>
      <c r="D285" s="319" t="s">
        <v>1142</v>
      </c>
      <c r="E285" s="320">
        <v>187200</v>
      </c>
      <c r="F285" s="320">
        <v>187200</v>
      </c>
    </row>
    <row r="286" spans="1:6">
      <c r="A286" s="318" t="s">
        <v>153</v>
      </c>
      <c r="B286" s="319" t="s">
        <v>764</v>
      </c>
      <c r="C286" s="319" t="s">
        <v>1812</v>
      </c>
      <c r="D286" s="319" t="s">
        <v>395</v>
      </c>
      <c r="E286" s="320">
        <v>187200</v>
      </c>
      <c r="F286" s="320">
        <v>187200</v>
      </c>
    </row>
    <row r="287" spans="1:6" ht="76.5">
      <c r="A287" s="318" t="s">
        <v>584</v>
      </c>
      <c r="B287" s="319" t="s">
        <v>763</v>
      </c>
      <c r="C287" s="319" t="s">
        <v>1173</v>
      </c>
      <c r="D287" s="319" t="s">
        <v>1173</v>
      </c>
      <c r="E287" s="320">
        <v>40000</v>
      </c>
      <c r="F287" s="320">
        <v>40000</v>
      </c>
    </row>
    <row r="288" spans="1:6" ht="38.25">
      <c r="A288" s="318" t="s">
        <v>1319</v>
      </c>
      <c r="B288" s="319" t="s">
        <v>763</v>
      </c>
      <c r="C288" s="319" t="s">
        <v>1320</v>
      </c>
      <c r="D288" s="319" t="s">
        <v>1173</v>
      </c>
      <c r="E288" s="320">
        <v>40000</v>
      </c>
      <c r="F288" s="320">
        <v>40000</v>
      </c>
    </row>
    <row r="289" spans="1:6" ht="38.25">
      <c r="A289" s="318" t="s">
        <v>1196</v>
      </c>
      <c r="B289" s="319" t="s">
        <v>763</v>
      </c>
      <c r="C289" s="319" t="s">
        <v>1197</v>
      </c>
      <c r="D289" s="319" t="s">
        <v>1173</v>
      </c>
      <c r="E289" s="320">
        <v>40000</v>
      </c>
      <c r="F289" s="320">
        <v>40000</v>
      </c>
    </row>
    <row r="290" spans="1:6">
      <c r="A290" s="318" t="s">
        <v>140</v>
      </c>
      <c r="B290" s="319" t="s">
        <v>763</v>
      </c>
      <c r="C290" s="319" t="s">
        <v>1197</v>
      </c>
      <c r="D290" s="319" t="s">
        <v>1142</v>
      </c>
      <c r="E290" s="320">
        <v>40000</v>
      </c>
      <c r="F290" s="320">
        <v>40000</v>
      </c>
    </row>
    <row r="291" spans="1:6">
      <c r="A291" s="318" t="s">
        <v>153</v>
      </c>
      <c r="B291" s="319" t="s">
        <v>763</v>
      </c>
      <c r="C291" s="319" t="s">
        <v>1197</v>
      </c>
      <c r="D291" s="319" t="s">
        <v>395</v>
      </c>
      <c r="E291" s="320">
        <v>40000</v>
      </c>
      <c r="F291" s="320">
        <v>40000</v>
      </c>
    </row>
    <row r="292" spans="1:6" ht="204">
      <c r="A292" s="318" t="s">
        <v>1666</v>
      </c>
      <c r="B292" s="319" t="s">
        <v>1667</v>
      </c>
      <c r="C292" s="319" t="s">
        <v>1173</v>
      </c>
      <c r="D292" s="319" t="s">
        <v>1173</v>
      </c>
      <c r="E292" s="320">
        <v>32609600</v>
      </c>
      <c r="F292" s="320">
        <v>33343700</v>
      </c>
    </row>
    <row r="293" spans="1:6" ht="38.25">
      <c r="A293" s="318" t="s">
        <v>1319</v>
      </c>
      <c r="B293" s="319" t="s">
        <v>1667</v>
      </c>
      <c r="C293" s="319" t="s">
        <v>1320</v>
      </c>
      <c r="D293" s="319" t="s">
        <v>1173</v>
      </c>
      <c r="E293" s="320">
        <v>32609600</v>
      </c>
      <c r="F293" s="320">
        <v>33343700</v>
      </c>
    </row>
    <row r="294" spans="1:6" ht="38.25">
      <c r="A294" s="318" t="s">
        <v>1196</v>
      </c>
      <c r="B294" s="319" t="s">
        <v>1667</v>
      </c>
      <c r="C294" s="319" t="s">
        <v>1197</v>
      </c>
      <c r="D294" s="319" t="s">
        <v>1173</v>
      </c>
      <c r="E294" s="320">
        <v>32609600</v>
      </c>
      <c r="F294" s="320">
        <v>33343700</v>
      </c>
    </row>
    <row r="295" spans="1:6">
      <c r="A295" s="318" t="s">
        <v>141</v>
      </c>
      <c r="B295" s="319" t="s">
        <v>1667</v>
      </c>
      <c r="C295" s="319" t="s">
        <v>1197</v>
      </c>
      <c r="D295" s="319" t="s">
        <v>1143</v>
      </c>
      <c r="E295" s="320">
        <v>32609600</v>
      </c>
      <c r="F295" s="320">
        <v>33343700</v>
      </c>
    </row>
    <row r="296" spans="1:6">
      <c r="A296" s="318" t="s">
        <v>98</v>
      </c>
      <c r="B296" s="319" t="s">
        <v>1667</v>
      </c>
      <c r="C296" s="319" t="s">
        <v>1197</v>
      </c>
      <c r="D296" s="319" t="s">
        <v>378</v>
      </c>
      <c r="E296" s="320">
        <v>32609600</v>
      </c>
      <c r="F296" s="320">
        <v>33343700</v>
      </c>
    </row>
    <row r="297" spans="1:6" ht="229.5">
      <c r="A297" s="318" t="s">
        <v>1478</v>
      </c>
      <c r="B297" s="319" t="s">
        <v>774</v>
      </c>
      <c r="C297" s="319" t="s">
        <v>1173</v>
      </c>
      <c r="D297" s="319" t="s">
        <v>1173</v>
      </c>
      <c r="E297" s="320">
        <v>358360</v>
      </c>
      <c r="F297" s="320">
        <v>358360</v>
      </c>
    </row>
    <row r="298" spans="1:6" ht="38.25">
      <c r="A298" s="318" t="s">
        <v>1327</v>
      </c>
      <c r="B298" s="319" t="s">
        <v>774</v>
      </c>
      <c r="C298" s="319" t="s">
        <v>1328</v>
      </c>
      <c r="D298" s="319" t="s">
        <v>1173</v>
      </c>
      <c r="E298" s="320">
        <v>358360</v>
      </c>
      <c r="F298" s="320">
        <v>358360</v>
      </c>
    </row>
    <row r="299" spans="1:6">
      <c r="A299" s="318" t="s">
        <v>1198</v>
      </c>
      <c r="B299" s="319" t="s">
        <v>774</v>
      </c>
      <c r="C299" s="319" t="s">
        <v>1199</v>
      </c>
      <c r="D299" s="319" t="s">
        <v>1173</v>
      </c>
      <c r="E299" s="320">
        <v>358360</v>
      </c>
      <c r="F299" s="320">
        <v>358360</v>
      </c>
    </row>
    <row r="300" spans="1:6">
      <c r="A300" s="318" t="s">
        <v>140</v>
      </c>
      <c r="B300" s="319" t="s">
        <v>774</v>
      </c>
      <c r="C300" s="319" t="s">
        <v>1199</v>
      </c>
      <c r="D300" s="319" t="s">
        <v>1142</v>
      </c>
      <c r="E300" s="320">
        <v>358360</v>
      </c>
      <c r="F300" s="320">
        <v>358360</v>
      </c>
    </row>
    <row r="301" spans="1:6">
      <c r="A301" s="318" t="s">
        <v>1075</v>
      </c>
      <c r="B301" s="319" t="s">
        <v>774</v>
      </c>
      <c r="C301" s="319" t="s">
        <v>1199</v>
      </c>
      <c r="D301" s="319" t="s">
        <v>365</v>
      </c>
      <c r="E301" s="320">
        <v>358360</v>
      </c>
      <c r="F301" s="320">
        <v>358360</v>
      </c>
    </row>
    <row r="302" spans="1:6" ht="114.75">
      <c r="A302" s="318" t="s">
        <v>1813</v>
      </c>
      <c r="B302" s="319" t="s">
        <v>1358</v>
      </c>
      <c r="C302" s="319" t="s">
        <v>1173</v>
      </c>
      <c r="D302" s="319" t="s">
        <v>1173</v>
      </c>
      <c r="E302" s="320">
        <v>8404000</v>
      </c>
      <c r="F302" s="320">
        <v>8404000</v>
      </c>
    </row>
    <row r="303" spans="1:6" ht="38.25">
      <c r="A303" s="318" t="s">
        <v>1319</v>
      </c>
      <c r="B303" s="319" t="s">
        <v>1358</v>
      </c>
      <c r="C303" s="319" t="s">
        <v>1320</v>
      </c>
      <c r="D303" s="319" t="s">
        <v>1173</v>
      </c>
      <c r="E303" s="320">
        <v>8404000</v>
      </c>
      <c r="F303" s="320">
        <v>8404000</v>
      </c>
    </row>
    <row r="304" spans="1:6" ht="38.25">
      <c r="A304" s="318" t="s">
        <v>1196</v>
      </c>
      <c r="B304" s="319" t="s">
        <v>1358</v>
      </c>
      <c r="C304" s="319" t="s">
        <v>1197</v>
      </c>
      <c r="D304" s="319" t="s">
        <v>1173</v>
      </c>
      <c r="E304" s="320">
        <v>8404000</v>
      </c>
      <c r="F304" s="320">
        <v>8404000</v>
      </c>
    </row>
    <row r="305" spans="1:6">
      <c r="A305" s="318" t="s">
        <v>140</v>
      </c>
      <c r="B305" s="319" t="s">
        <v>1358</v>
      </c>
      <c r="C305" s="319" t="s">
        <v>1197</v>
      </c>
      <c r="D305" s="319" t="s">
        <v>1142</v>
      </c>
      <c r="E305" s="320">
        <v>8404000</v>
      </c>
      <c r="F305" s="320">
        <v>8404000</v>
      </c>
    </row>
    <row r="306" spans="1:6">
      <c r="A306" s="318" t="s">
        <v>153</v>
      </c>
      <c r="B306" s="319" t="s">
        <v>1358</v>
      </c>
      <c r="C306" s="319" t="s">
        <v>1197</v>
      </c>
      <c r="D306" s="319" t="s">
        <v>395</v>
      </c>
      <c r="E306" s="320">
        <v>8404000</v>
      </c>
      <c r="F306" s="320">
        <v>8404000</v>
      </c>
    </row>
    <row r="307" spans="1:6" ht="140.25">
      <c r="A307" s="318" t="s">
        <v>1771</v>
      </c>
      <c r="B307" s="319" t="s">
        <v>1639</v>
      </c>
      <c r="C307" s="319" t="s">
        <v>1173</v>
      </c>
      <c r="D307" s="319" t="s">
        <v>1173</v>
      </c>
      <c r="E307" s="320">
        <v>15186900</v>
      </c>
      <c r="F307" s="320">
        <v>6489700</v>
      </c>
    </row>
    <row r="308" spans="1:6" ht="38.25">
      <c r="A308" s="318" t="s">
        <v>1319</v>
      </c>
      <c r="B308" s="319" t="s">
        <v>1639</v>
      </c>
      <c r="C308" s="319" t="s">
        <v>1320</v>
      </c>
      <c r="D308" s="319" t="s">
        <v>1173</v>
      </c>
      <c r="E308" s="320">
        <v>15186900</v>
      </c>
      <c r="F308" s="320">
        <v>6489700</v>
      </c>
    </row>
    <row r="309" spans="1:6" ht="38.25">
      <c r="A309" s="318" t="s">
        <v>1196</v>
      </c>
      <c r="B309" s="319" t="s">
        <v>1639</v>
      </c>
      <c r="C309" s="319" t="s">
        <v>1197</v>
      </c>
      <c r="D309" s="319" t="s">
        <v>1173</v>
      </c>
      <c r="E309" s="320">
        <v>15186900</v>
      </c>
      <c r="F309" s="320">
        <v>6489700</v>
      </c>
    </row>
    <row r="310" spans="1:6">
      <c r="A310" s="318" t="s">
        <v>140</v>
      </c>
      <c r="B310" s="319" t="s">
        <v>1639</v>
      </c>
      <c r="C310" s="319" t="s">
        <v>1197</v>
      </c>
      <c r="D310" s="319" t="s">
        <v>1142</v>
      </c>
      <c r="E310" s="320">
        <v>15186900</v>
      </c>
      <c r="F310" s="320">
        <v>6489700</v>
      </c>
    </row>
    <row r="311" spans="1:6">
      <c r="A311" s="318" t="s">
        <v>153</v>
      </c>
      <c r="B311" s="319" t="s">
        <v>1639</v>
      </c>
      <c r="C311" s="319" t="s">
        <v>1197</v>
      </c>
      <c r="D311" s="319" t="s">
        <v>395</v>
      </c>
      <c r="E311" s="320">
        <v>15186900</v>
      </c>
      <c r="F311" s="320">
        <v>6489700</v>
      </c>
    </row>
    <row r="312" spans="1:6" ht="51">
      <c r="A312" s="318" t="s">
        <v>445</v>
      </c>
      <c r="B312" s="319" t="s">
        <v>1134</v>
      </c>
      <c r="C312" s="319" t="s">
        <v>1173</v>
      </c>
      <c r="D312" s="319" t="s">
        <v>1173</v>
      </c>
      <c r="E312" s="320">
        <v>6099700</v>
      </c>
      <c r="F312" s="320">
        <v>7763900</v>
      </c>
    </row>
    <row r="313" spans="1:6" ht="140.25">
      <c r="A313" s="318" t="s">
        <v>421</v>
      </c>
      <c r="B313" s="319" t="s">
        <v>1126</v>
      </c>
      <c r="C313" s="319" t="s">
        <v>1173</v>
      </c>
      <c r="D313" s="319" t="s">
        <v>1173</v>
      </c>
      <c r="E313" s="320">
        <v>6099700</v>
      </c>
      <c r="F313" s="320">
        <v>6099700</v>
      </c>
    </row>
    <row r="314" spans="1:6" ht="76.5">
      <c r="A314" s="318" t="s">
        <v>1318</v>
      </c>
      <c r="B314" s="319" t="s">
        <v>1126</v>
      </c>
      <c r="C314" s="319" t="s">
        <v>273</v>
      </c>
      <c r="D314" s="319" t="s">
        <v>1173</v>
      </c>
      <c r="E314" s="320">
        <v>4992580</v>
      </c>
      <c r="F314" s="320">
        <v>4992580</v>
      </c>
    </row>
    <row r="315" spans="1:6" ht="38.25">
      <c r="A315" s="318" t="s">
        <v>1203</v>
      </c>
      <c r="B315" s="319" t="s">
        <v>1126</v>
      </c>
      <c r="C315" s="319" t="s">
        <v>28</v>
      </c>
      <c r="D315" s="319" t="s">
        <v>1173</v>
      </c>
      <c r="E315" s="320">
        <v>4992580</v>
      </c>
      <c r="F315" s="320">
        <v>4992580</v>
      </c>
    </row>
    <row r="316" spans="1:6">
      <c r="A316" s="318" t="s">
        <v>140</v>
      </c>
      <c r="B316" s="319" t="s">
        <v>1126</v>
      </c>
      <c r="C316" s="319" t="s">
        <v>28</v>
      </c>
      <c r="D316" s="319" t="s">
        <v>1142</v>
      </c>
      <c r="E316" s="320">
        <v>4992580</v>
      </c>
      <c r="F316" s="320">
        <v>4992580</v>
      </c>
    </row>
    <row r="317" spans="1:6">
      <c r="A317" s="318" t="s">
        <v>4</v>
      </c>
      <c r="B317" s="319" t="s">
        <v>1126</v>
      </c>
      <c r="C317" s="319" t="s">
        <v>28</v>
      </c>
      <c r="D317" s="319" t="s">
        <v>420</v>
      </c>
      <c r="E317" s="320">
        <v>4992580</v>
      </c>
      <c r="F317" s="320">
        <v>4992580</v>
      </c>
    </row>
    <row r="318" spans="1:6" ht="38.25">
      <c r="A318" s="318" t="s">
        <v>1319</v>
      </c>
      <c r="B318" s="319" t="s">
        <v>1126</v>
      </c>
      <c r="C318" s="319" t="s">
        <v>1320</v>
      </c>
      <c r="D318" s="319" t="s">
        <v>1173</v>
      </c>
      <c r="E318" s="320">
        <v>1107120</v>
      </c>
      <c r="F318" s="320">
        <v>1107120</v>
      </c>
    </row>
    <row r="319" spans="1:6" ht="38.25">
      <c r="A319" s="318" t="s">
        <v>1196</v>
      </c>
      <c r="B319" s="319" t="s">
        <v>1126</v>
      </c>
      <c r="C319" s="319" t="s">
        <v>1197</v>
      </c>
      <c r="D319" s="319" t="s">
        <v>1173</v>
      </c>
      <c r="E319" s="320">
        <v>1107120</v>
      </c>
      <c r="F319" s="320">
        <v>1107120</v>
      </c>
    </row>
    <row r="320" spans="1:6">
      <c r="A320" s="318" t="s">
        <v>140</v>
      </c>
      <c r="B320" s="319" t="s">
        <v>1126</v>
      </c>
      <c r="C320" s="319" t="s">
        <v>1197</v>
      </c>
      <c r="D320" s="319" t="s">
        <v>1142</v>
      </c>
      <c r="E320" s="320">
        <v>1107120</v>
      </c>
      <c r="F320" s="320">
        <v>1107120</v>
      </c>
    </row>
    <row r="321" spans="1:6">
      <c r="A321" s="318" t="s">
        <v>4</v>
      </c>
      <c r="B321" s="319" t="s">
        <v>1126</v>
      </c>
      <c r="C321" s="319" t="s">
        <v>1197</v>
      </c>
      <c r="D321" s="319" t="s">
        <v>420</v>
      </c>
      <c r="E321" s="320">
        <v>1107120</v>
      </c>
      <c r="F321" s="320">
        <v>1107120</v>
      </c>
    </row>
    <row r="322" spans="1:6" ht="165.75">
      <c r="A322" s="318" t="s">
        <v>1352</v>
      </c>
      <c r="B322" s="319" t="s">
        <v>1353</v>
      </c>
      <c r="C322" s="319" t="s">
        <v>1173</v>
      </c>
      <c r="D322" s="319" t="s">
        <v>1173</v>
      </c>
      <c r="E322" s="320">
        <v>0</v>
      </c>
      <c r="F322" s="320">
        <v>1664200</v>
      </c>
    </row>
    <row r="323" spans="1:6" ht="38.25">
      <c r="A323" s="318" t="s">
        <v>1325</v>
      </c>
      <c r="B323" s="319" t="s">
        <v>1353</v>
      </c>
      <c r="C323" s="319" t="s">
        <v>1326</v>
      </c>
      <c r="D323" s="319" t="s">
        <v>1173</v>
      </c>
      <c r="E323" s="320">
        <v>0</v>
      </c>
      <c r="F323" s="320">
        <v>1664200</v>
      </c>
    </row>
    <row r="324" spans="1:6">
      <c r="A324" s="318" t="s">
        <v>1207</v>
      </c>
      <c r="B324" s="319" t="s">
        <v>1353</v>
      </c>
      <c r="C324" s="319" t="s">
        <v>75</v>
      </c>
      <c r="D324" s="319" t="s">
        <v>1173</v>
      </c>
      <c r="E324" s="320">
        <v>0</v>
      </c>
      <c r="F324" s="320">
        <v>1664200</v>
      </c>
    </row>
    <row r="325" spans="1:6">
      <c r="A325" s="318" t="s">
        <v>141</v>
      </c>
      <c r="B325" s="319" t="s">
        <v>1353</v>
      </c>
      <c r="C325" s="319" t="s">
        <v>75</v>
      </c>
      <c r="D325" s="319" t="s">
        <v>1143</v>
      </c>
      <c r="E325" s="320">
        <v>0</v>
      </c>
      <c r="F325" s="320">
        <v>1664200</v>
      </c>
    </row>
    <row r="326" spans="1:6">
      <c r="A326" s="318" t="s">
        <v>18</v>
      </c>
      <c r="B326" s="319" t="s">
        <v>1353</v>
      </c>
      <c r="C326" s="319" t="s">
        <v>75</v>
      </c>
      <c r="D326" s="319" t="s">
        <v>423</v>
      </c>
      <c r="E326" s="320">
        <v>0</v>
      </c>
      <c r="F326" s="320">
        <v>1664200</v>
      </c>
    </row>
    <row r="327" spans="1:6" ht="38.25">
      <c r="A327" s="318" t="s">
        <v>615</v>
      </c>
      <c r="B327" s="319" t="s">
        <v>973</v>
      </c>
      <c r="C327" s="319" t="s">
        <v>1173</v>
      </c>
      <c r="D327" s="319" t="s">
        <v>1173</v>
      </c>
      <c r="E327" s="320">
        <v>77980580</v>
      </c>
      <c r="F327" s="320">
        <v>77980580</v>
      </c>
    </row>
    <row r="328" spans="1:6" ht="102">
      <c r="A328" s="318" t="s">
        <v>609</v>
      </c>
      <c r="B328" s="319" t="s">
        <v>1127</v>
      </c>
      <c r="C328" s="319" t="s">
        <v>1173</v>
      </c>
      <c r="D328" s="319" t="s">
        <v>1173</v>
      </c>
      <c r="E328" s="320">
        <v>49733700</v>
      </c>
      <c r="F328" s="320">
        <v>49733700</v>
      </c>
    </row>
    <row r="329" spans="1:6" ht="76.5">
      <c r="A329" s="318" t="s">
        <v>1318</v>
      </c>
      <c r="B329" s="319" t="s">
        <v>1127</v>
      </c>
      <c r="C329" s="319" t="s">
        <v>273</v>
      </c>
      <c r="D329" s="319" t="s">
        <v>1173</v>
      </c>
      <c r="E329" s="320">
        <v>46966700</v>
      </c>
      <c r="F329" s="320">
        <v>46966700</v>
      </c>
    </row>
    <row r="330" spans="1:6" ht="25.5">
      <c r="A330" s="318" t="s">
        <v>1190</v>
      </c>
      <c r="B330" s="319" t="s">
        <v>1127</v>
      </c>
      <c r="C330" s="319" t="s">
        <v>133</v>
      </c>
      <c r="D330" s="319" t="s">
        <v>1173</v>
      </c>
      <c r="E330" s="320">
        <v>46966700</v>
      </c>
      <c r="F330" s="320">
        <v>46966700</v>
      </c>
    </row>
    <row r="331" spans="1:6">
      <c r="A331" s="318" t="s">
        <v>140</v>
      </c>
      <c r="B331" s="319" t="s">
        <v>1127</v>
      </c>
      <c r="C331" s="319" t="s">
        <v>133</v>
      </c>
      <c r="D331" s="319" t="s">
        <v>1142</v>
      </c>
      <c r="E331" s="320">
        <v>46966700</v>
      </c>
      <c r="F331" s="320">
        <v>46966700</v>
      </c>
    </row>
    <row r="332" spans="1:6">
      <c r="A332" s="318" t="s">
        <v>4</v>
      </c>
      <c r="B332" s="319" t="s">
        <v>1127</v>
      </c>
      <c r="C332" s="319" t="s">
        <v>133</v>
      </c>
      <c r="D332" s="319" t="s">
        <v>420</v>
      </c>
      <c r="E332" s="320">
        <v>46966700</v>
      </c>
      <c r="F332" s="320">
        <v>46966700</v>
      </c>
    </row>
    <row r="333" spans="1:6" ht="38.25">
      <c r="A333" s="318" t="s">
        <v>1319</v>
      </c>
      <c r="B333" s="319" t="s">
        <v>1127</v>
      </c>
      <c r="C333" s="319" t="s">
        <v>1320</v>
      </c>
      <c r="D333" s="319" t="s">
        <v>1173</v>
      </c>
      <c r="E333" s="320">
        <v>2767000</v>
      </c>
      <c r="F333" s="320">
        <v>2767000</v>
      </c>
    </row>
    <row r="334" spans="1:6" ht="38.25">
      <c r="A334" s="318" t="s">
        <v>1196</v>
      </c>
      <c r="B334" s="319" t="s">
        <v>1127</v>
      </c>
      <c r="C334" s="319" t="s">
        <v>1197</v>
      </c>
      <c r="D334" s="319" t="s">
        <v>1173</v>
      </c>
      <c r="E334" s="320">
        <v>2767000</v>
      </c>
      <c r="F334" s="320">
        <v>2767000</v>
      </c>
    </row>
    <row r="335" spans="1:6">
      <c r="A335" s="318" t="s">
        <v>140</v>
      </c>
      <c r="B335" s="319" t="s">
        <v>1127</v>
      </c>
      <c r="C335" s="319" t="s">
        <v>1197</v>
      </c>
      <c r="D335" s="319" t="s">
        <v>1142</v>
      </c>
      <c r="E335" s="320">
        <v>2767000</v>
      </c>
      <c r="F335" s="320">
        <v>2767000</v>
      </c>
    </row>
    <row r="336" spans="1:6">
      <c r="A336" s="318" t="s">
        <v>4</v>
      </c>
      <c r="B336" s="319" t="s">
        <v>1127</v>
      </c>
      <c r="C336" s="319" t="s">
        <v>1197</v>
      </c>
      <c r="D336" s="319" t="s">
        <v>420</v>
      </c>
      <c r="E336" s="320">
        <v>2767000</v>
      </c>
      <c r="F336" s="320">
        <v>2767000</v>
      </c>
    </row>
    <row r="337" spans="1:6" ht="114.75">
      <c r="A337" s="318" t="s">
        <v>610</v>
      </c>
      <c r="B337" s="319" t="s">
        <v>1133</v>
      </c>
      <c r="C337" s="319" t="s">
        <v>1173</v>
      </c>
      <c r="D337" s="319" t="s">
        <v>1173</v>
      </c>
      <c r="E337" s="320">
        <v>1148640</v>
      </c>
      <c r="F337" s="320">
        <v>1148640</v>
      </c>
    </row>
    <row r="338" spans="1:6" ht="76.5">
      <c r="A338" s="318" t="s">
        <v>1318</v>
      </c>
      <c r="B338" s="319" t="s">
        <v>1133</v>
      </c>
      <c r="C338" s="319" t="s">
        <v>273</v>
      </c>
      <c r="D338" s="319" t="s">
        <v>1173</v>
      </c>
      <c r="E338" s="320">
        <v>1148640</v>
      </c>
      <c r="F338" s="320">
        <v>1148640</v>
      </c>
    </row>
    <row r="339" spans="1:6" ht="25.5">
      <c r="A339" s="318" t="s">
        <v>1190</v>
      </c>
      <c r="B339" s="319" t="s">
        <v>1133</v>
      </c>
      <c r="C339" s="319" t="s">
        <v>133</v>
      </c>
      <c r="D339" s="319" t="s">
        <v>1173</v>
      </c>
      <c r="E339" s="320">
        <v>1148640</v>
      </c>
      <c r="F339" s="320">
        <v>1148640</v>
      </c>
    </row>
    <row r="340" spans="1:6">
      <c r="A340" s="318" t="s">
        <v>140</v>
      </c>
      <c r="B340" s="319" t="s">
        <v>1133</v>
      </c>
      <c r="C340" s="319" t="s">
        <v>133</v>
      </c>
      <c r="D340" s="319" t="s">
        <v>1142</v>
      </c>
      <c r="E340" s="320">
        <v>1148640</v>
      </c>
      <c r="F340" s="320">
        <v>1148640</v>
      </c>
    </row>
    <row r="341" spans="1:6">
      <c r="A341" s="318" t="s">
        <v>4</v>
      </c>
      <c r="B341" s="319" t="s">
        <v>1133</v>
      </c>
      <c r="C341" s="319" t="s">
        <v>133</v>
      </c>
      <c r="D341" s="319" t="s">
        <v>420</v>
      </c>
      <c r="E341" s="320">
        <v>1148640</v>
      </c>
      <c r="F341" s="320">
        <v>1148640</v>
      </c>
    </row>
    <row r="342" spans="1:6" ht="140.25">
      <c r="A342" s="318" t="s">
        <v>622</v>
      </c>
      <c r="B342" s="319" t="s">
        <v>1128</v>
      </c>
      <c r="C342" s="319" t="s">
        <v>1173</v>
      </c>
      <c r="D342" s="319" t="s">
        <v>1173</v>
      </c>
      <c r="E342" s="320">
        <v>15754200</v>
      </c>
      <c r="F342" s="320">
        <v>15754200</v>
      </c>
    </row>
    <row r="343" spans="1:6" ht="76.5">
      <c r="A343" s="318" t="s">
        <v>1318</v>
      </c>
      <c r="B343" s="319" t="s">
        <v>1128</v>
      </c>
      <c r="C343" s="319" t="s">
        <v>273</v>
      </c>
      <c r="D343" s="319" t="s">
        <v>1173</v>
      </c>
      <c r="E343" s="320">
        <v>15754200</v>
      </c>
      <c r="F343" s="320">
        <v>15754200</v>
      </c>
    </row>
    <row r="344" spans="1:6" ht="25.5">
      <c r="A344" s="318" t="s">
        <v>1190</v>
      </c>
      <c r="B344" s="319" t="s">
        <v>1128</v>
      </c>
      <c r="C344" s="319" t="s">
        <v>133</v>
      </c>
      <c r="D344" s="319" t="s">
        <v>1173</v>
      </c>
      <c r="E344" s="320">
        <v>15754200</v>
      </c>
      <c r="F344" s="320">
        <v>15754200</v>
      </c>
    </row>
    <row r="345" spans="1:6">
      <c r="A345" s="318" t="s">
        <v>140</v>
      </c>
      <c r="B345" s="319" t="s">
        <v>1128</v>
      </c>
      <c r="C345" s="319" t="s">
        <v>133</v>
      </c>
      <c r="D345" s="319" t="s">
        <v>1142</v>
      </c>
      <c r="E345" s="320">
        <v>15754200</v>
      </c>
      <c r="F345" s="320">
        <v>15754200</v>
      </c>
    </row>
    <row r="346" spans="1:6">
      <c r="A346" s="318" t="s">
        <v>4</v>
      </c>
      <c r="B346" s="319" t="s">
        <v>1128</v>
      </c>
      <c r="C346" s="319" t="s">
        <v>133</v>
      </c>
      <c r="D346" s="319" t="s">
        <v>420</v>
      </c>
      <c r="E346" s="320">
        <v>15754200</v>
      </c>
      <c r="F346" s="320">
        <v>15754200</v>
      </c>
    </row>
    <row r="347" spans="1:6" ht="114.75">
      <c r="A347" s="318" t="s">
        <v>611</v>
      </c>
      <c r="B347" s="319" t="s">
        <v>1129</v>
      </c>
      <c r="C347" s="319" t="s">
        <v>1173</v>
      </c>
      <c r="D347" s="319" t="s">
        <v>1173</v>
      </c>
      <c r="E347" s="320">
        <v>450000</v>
      </c>
      <c r="F347" s="320">
        <v>450000</v>
      </c>
    </row>
    <row r="348" spans="1:6" ht="76.5">
      <c r="A348" s="318" t="s">
        <v>1318</v>
      </c>
      <c r="B348" s="319" t="s">
        <v>1129</v>
      </c>
      <c r="C348" s="319" t="s">
        <v>273</v>
      </c>
      <c r="D348" s="319" t="s">
        <v>1173</v>
      </c>
      <c r="E348" s="320">
        <v>450000</v>
      </c>
      <c r="F348" s="320">
        <v>450000</v>
      </c>
    </row>
    <row r="349" spans="1:6" ht="25.5">
      <c r="A349" s="318" t="s">
        <v>1190</v>
      </c>
      <c r="B349" s="319" t="s">
        <v>1129</v>
      </c>
      <c r="C349" s="319" t="s">
        <v>133</v>
      </c>
      <c r="D349" s="319" t="s">
        <v>1173</v>
      </c>
      <c r="E349" s="320">
        <v>450000</v>
      </c>
      <c r="F349" s="320">
        <v>450000</v>
      </c>
    </row>
    <row r="350" spans="1:6">
      <c r="A350" s="318" t="s">
        <v>140</v>
      </c>
      <c r="B350" s="319" t="s">
        <v>1129</v>
      </c>
      <c r="C350" s="319" t="s">
        <v>133</v>
      </c>
      <c r="D350" s="319" t="s">
        <v>1142</v>
      </c>
      <c r="E350" s="320">
        <v>450000</v>
      </c>
      <c r="F350" s="320">
        <v>450000</v>
      </c>
    </row>
    <row r="351" spans="1:6">
      <c r="A351" s="318" t="s">
        <v>4</v>
      </c>
      <c r="B351" s="319" t="s">
        <v>1129</v>
      </c>
      <c r="C351" s="319" t="s">
        <v>133</v>
      </c>
      <c r="D351" s="319" t="s">
        <v>420</v>
      </c>
      <c r="E351" s="320">
        <v>450000</v>
      </c>
      <c r="F351" s="320">
        <v>450000</v>
      </c>
    </row>
    <row r="352" spans="1:6" ht="89.25">
      <c r="A352" s="318" t="s">
        <v>612</v>
      </c>
      <c r="B352" s="319" t="s">
        <v>1130</v>
      </c>
      <c r="C352" s="319" t="s">
        <v>1173</v>
      </c>
      <c r="D352" s="319" t="s">
        <v>1173</v>
      </c>
      <c r="E352" s="320">
        <v>47400</v>
      </c>
      <c r="F352" s="320">
        <v>47400</v>
      </c>
    </row>
    <row r="353" spans="1:6" ht="38.25">
      <c r="A353" s="318" t="s">
        <v>1319</v>
      </c>
      <c r="B353" s="319" t="s">
        <v>1130</v>
      </c>
      <c r="C353" s="319" t="s">
        <v>1320</v>
      </c>
      <c r="D353" s="319" t="s">
        <v>1173</v>
      </c>
      <c r="E353" s="320">
        <v>47400</v>
      </c>
      <c r="F353" s="320">
        <v>47400</v>
      </c>
    </row>
    <row r="354" spans="1:6" ht="38.25">
      <c r="A354" s="318" t="s">
        <v>1196</v>
      </c>
      <c r="B354" s="319" t="s">
        <v>1130</v>
      </c>
      <c r="C354" s="319" t="s">
        <v>1197</v>
      </c>
      <c r="D354" s="319" t="s">
        <v>1173</v>
      </c>
      <c r="E354" s="320">
        <v>47400</v>
      </c>
      <c r="F354" s="320">
        <v>47400</v>
      </c>
    </row>
    <row r="355" spans="1:6">
      <c r="A355" s="318" t="s">
        <v>140</v>
      </c>
      <c r="B355" s="319" t="s">
        <v>1130</v>
      </c>
      <c r="C355" s="319" t="s">
        <v>1197</v>
      </c>
      <c r="D355" s="319" t="s">
        <v>1142</v>
      </c>
      <c r="E355" s="320">
        <v>47400</v>
      </c>
      <c r="F355" s="320">
        <v>47400</v>
      </c>
    </row>
    <row r="356" spans="1:6">
      <c r="A356" s="318" t="s">
        <v>4</v>
      </c>
      <c r="B356" s="319" t="s">
        <v>1130</v>
      </c>
      <c r="C356" s="319" t="s">
        <v>1197</v>
      </c>
      <c r="D356" s="319" t="s">
        <v>420</v>
      </c>
      <c r="E356" s="320">
        <v>47400</v>
      </c>
      <c r="F356" s="320">
        <v>47400</v>
      </c>
    </row>
    <row r="357" spans="1:6" ht="102">
      <c r="A357" s="318" t="s">
        <v>1851</v>
      </c>
      <c r="B357" s="319" t="s">
        <v>1852</v>
      </c>
      <c r="C357" s="319" t="s">
        <v>1173</v>
      </c>
      <c r="D357" s="319" t="s">
        <v>1173</v>
      </c>
      <c r="E357" s="320">
        <v>20000</v>
      </c>
      <c r="F357" s="320">
        <v>20000</v>
      </c>
    </row>
    <row r="358" spans="1:6" ht="38.25">
      <c r="A358" s="318" t="s">
        <v>1319</v>
      </c>
      <c r="B358" s="319" t="s">
        <v>1852</v>
      </c>
      <c r="C358" s="319" t="s">
        <v>1320</v>
      </c>
      <c r="D358" s="319" t="s">
        <v>1173</v>
      </c>
      <c r="E358" s="320">
        <v>20000</v>
      </c>
      <c r="F358" s="320">
        <v>20000</v>
      </c>
    </row>
    <row r="359" spans="1:6" ht="38.25">
      <c r="A359" s="318" t="s">
        <v>1196</v>
      </c>
      <c r="B359" s="319" t="s">
        <v>1852</v>
      </c>
      <c r="C359" s="319" t="s">
        <v>1197</v>
      </c>
      <c r="D359" s="319" t="s">
        <v>1173</v>
      </c>
      <c r="E359" s="320">
        <v>20000</v>
      </c>
      <c r="F359" s="320">
        <v>20000</v>
      </c>
    </row>
    <row r="360" spans="1:6">
      <c r="A360" s="318" t="s">
        <v>140</v>
      </c>
      <c r="B360" s="319" t="s">
        <v>1852</v>
      </c>
      <c r="C360" s="319" t="s">
        <v>1197</v>
      </c>
      <c r="D360" s="319" t="s">
        <v>1142</v>
      </c>
      <c r="E360" s="320">
        <v>20000</v>
      </c>
      <c r="F360" s="320">
        <v>20000</v>
      </c>
    </row>
    <row r="361" spans="1:6">
      <c r="A361" s="318" t="s">
        <v>4</v>
      </c>
      <c r="B361" s="319" t="s">
        <v>1852</v>
      </c>
      <c r="C361" s="319" t="s">
        <v>1197</v>
      </c>
      <c r="D361" s="319" t="s">
        <v>420</v>
      </c>
      <c r="E361" s="320">
        <v>20000</v>
      </c>
      <c r="F361" s="320">
        <v>20000</v>
      </c>
    </row>
    <row r="362" spans="1:6" ht="76.5">
      <c r="A362" s="318" t="s">
        <v>968</v>
      </c>
      <c r="B362" s="319" t="s">
        <v>1153</v>
      </c>
      <c r="C362" s="319" t="s">
        <v>1173</v>
      </c>
      <c r="D362" s="319" t="s">
        <v>1173</v>
      </c>
      <c r="E362" s="320">
        <v>1180000</v>
      </c>
      <c r="F362" s="320">
        <v>1180000</v>
      </c>
    </row>
    <row r="363" spans="1:6" ht="38.25">
      <c r="A363" s="318" t="s">
        <v>1319</v>
      </c>
      <c r="B363" s="319" t="s">
        <v>1153</v>
      </c>
      <c r="C363" s="319" t="s">
        <v>1320</v>
      </c>
      <c r="D363" s="319" t="s">
        <v>1173</v>
      </c>
      <c r="E363" s="320">
        <v>1180000</v>
      </c>
      <c r="F363" s="320">
        <v>1180000</v>
      </c>
    </row>
    <row r="364" spans="1:6" ht="38.25">
      <c r="A364" s="318" t="s">
        <v>1196</v>
      </c>
      <c r="B364" s="319" t="s">
        <v>1153</v>
      </c>
      <c r="C364" s="319" t="s">
        <v>1197</v>
      </c>
      <c r="D364" s="319" t="s">
        <v>1173</v>
      </c>
      <c r="E364" s="320">
        <v>1180000</v>
      </c>
      <c r="F364" s="320">
        <v>1180000</v>
      </c>
    </row>
    <row r="365" spans="1:6">
      <c r="A365" s="318" t="s">
        <v>140</v>
      </c>
      <c r="B365" s="319" t="s">
        <v>1153</v>
      </c>
      <c r="C365" s="319" t="s">
        <v>1197</v>
      </c>
      <c r="D365" s="319" t="s">
        <v>1142</v>
      </c>
      <c r="E365" s="320">
        <v>1180000</v>
      </c>
      <c r="F365" s="320">
        <v>1180000</v>
      </c>
    </row>
    <row r="366" spans="1:6">
      <c r="A366" s="318" t="s">
        <v>4</v>
      </c>
      <c r="B366" s="319" t="s">
        <v>1153</v>
      </c>
      <c r="C366" s="319" t="s">
        <v>1197</v>
      </c>
      <c r="D366" s="319" t="s">
        <v>420</v>
      </c>
      <c r="E366" s="320">
        <v>1180000</v>
      </c>
      <c r="F366" s="320">
        <v>1180000</v>
      </c>
    </row>
    <row r="367" spans="1:6" ht="102">
      <c r="A367" s="318" t="s">
        <v>613</v>
      </c>
      <c r="B367" s="319" t="s">
        <v>1131</v>
      </c>
      <c r="C367" s="319" t="s">
        <v>1173</v>
      </c>
      <c r="D367" s="319" t="s">
        <v>1173</v>
      </c>
      <c r="E367" s="320">
        <v>7689550</v>
      </c>
      <c r="F367" s="320">
        <v>7689550</v>
      </c>
    </row>
    <row r="368" spans="1:6" ht="76.5">
      <c r="A368" s="318" t="s">
        <v>1318</v>
      </c>
      <c r="B368" s="319" t="s">
        <v>1131</v>
      </c>
      <c r="C368" s="319" t="s">
        <v>273</v>
      </c>
      <c r="D368" s="319" t="s">
        <v>1173</v>
      </c>
      <c r="E368" s="320">
        <v>7452800</v>
      </c>
      <c r="F368" s="320">
        <v>7452800</v>
      </c>
    </row>
    <row r="369" spans="1:6" ht="38.25">
      <c r="A369" s="318" t="s">
        <v>1203</v>
      </c>
      <c r="B369" s="319" t="s">
        <v>1131</v>
      </c>
      <c r="C369" s="319" t="s">
        <v>28</v>
      </c>
      <c r="D369" s="319" t="s">
        <v>1173</v>
      </c>
      <c r="E369" s="320">
        <v>7452800</v>
      </c>
      <c r="F369" s="320">
        <v>7452800</v>
      </c>
    </row>
    <row r="370" spans="1:6">
      <c r="A370" s="318" t="s">
        <v>140</v>
      </c>
      <c r="B370" s="319" t="s">
        <v>1131</v>
      </c>
      <c r="C370" s="319" t="s">
        <v>28</v>
      </c>
      <c r="D370" s="319" t="s">
        <v>1142</v>
      </c>
      <c r="E370" s="320">
        <v>7452800</v>
      </c>
      <c r="F370" s="320">
        <v>7452800</v>
      </c>
    </row>
    <row r="371" spans="1:6">
      <c r="A371" s="318" t="s">
        <v>4</v>
      </c>
      <c r="B371" s="319" t="s">
        <v>1131</v>
      </c>
      <c r="C371" s="319" t="s">
        <v>28</v>
      </c>
      <c r="D371" s="319" t="s">
        <v>420</v>
      </c>
      <c r="E371" s="320">
        <v>7452800</v>
      </c>
      <c r="F371" s="320">
        <v>7452800</v>
      </c>
    </row>
    <row r="372" spans="1:6" ht="38.25">
      <c r="A372" s="318" t="s">
        <v>1319</v>
      </c>
      <c r="B372" s="319" t="s">
        <v>1131</v>
      </c>
      <c r="C372" s="319" t="s">
        <v>1320</v>
      </c>
      <c r="D372" s="319" t="s">
        <v>1173</v>
      </c>
      <c r="E372" s="320">
        <v>236750</v>
      </c>
      <c r="F372" s="320">
        <v>236750</v>
      </c>
    </row>
    <row r="373" spans="1:6" ht="38.25">
      <c r="A373" s="318" t="s">
        <v>1196</v>
      </c>
      <c r="B373" s="319" t="s">
        <v>1131</v>
      </c>
      <c r="C373" s="319" t="s">
        <v>1197</v>
      </c>
      <c r="D373" s="319" t="s">
        <v>1173</v>
      </c>
      <c r="E373" s="320">
        <v>236750</v>
      </c>
      <c r="F373" s="320">
        <v>236750</v>
      </c>
    </row>
    <row r="374" spans="1:6">
      <c r="A374" s="318" t="s">
        <v>140</v>
      </c>
      <c r="B374" s="319" t="s">
        <v>1131</v>
      </c>
      <c r="C374" s="319" t="s">
        <v>1197</v>
      </c>
      <c r="D374" s="319" t="s">
        <v>1142</v>
      </c>
      <c r="E374" s="320">
        <v>236750</v>
      </c>
      <c r="F374" s="320">
        <v>236750</v>
      </c>
    </row>
    <row r="375" spans="1:6">
      <c r="A375" s="318" t="s">
        <v>4</v>
      </c>
      <c r="B375" s="319" t="s">
        <v>1131</v>
      </c>
      <c r="C375" s="319" t="s">
        <v>1197</v>
      </c>
      <c r="D375" s="319" t="s">
        <v>420</v>
      </c>
      <c r="E375" s="320">
        <v>236750</v>
      </c>
      <c r="F375" s="320">
        <v>236750</v>
      </c>
    </row>
    <row r="376" spans="1:6" ht="127.5">
      <c r="A376" s="318" t="s">
        <v>614</v>
      </c>
      <c r="B376" s="319" t="s">
        <v>1132</v>
      </c>
      <c r="C376" s="319" t="s">
        <v>1173</v>
      </c>
      <c r="D376" s="319" t="s">
        <v>1173</v>
      </c>
      <c r="E376" s="320">
        <v>250000</v>
      </c>
      <c r="F376" s="320">
        <v>250000</v>
      </c>
    </row>
    <row r="377" spans="1:6" ht="76.5">
      <c r="A377" s="318" t="s">
        <v>1318</v>
      </c>
      <c r="B377" s="319" t="s">
        <v>1132</v>
      </c>
      <c r="C377" s="319" t="s">
        <v>273</v>
      </c>
      <c r="D377" s="319" t="s">
        <v>1173</v>
      </c>
      <c r="E377" s="320">
        <v>250000</v>
      </c>
      <c r="F377" s="320">
        <v>250000</v>
      </c>
    </row>
    <row r="378" spans="1:6" ht="38.25">
      <c r="A378" s="318" t="s">
        <v>1203</v>
      </c>
      <c r="B378" s="319" t="s">
        <v>1132</v>
      </c>
      <c r="C378" s="319" t="s">
        <v>28</v>
      </c>
      <c r="D378" s="319" t="s">
        <v>1173</v>
      </c>
      <c r="E378" s="320">
        <v>250000</v>
      </c>
      <c r="F378" s="320">
        <v>250000</v>
      </c>
    </row>
    <row r="379" spans="1:6">
      <c r="A379" s="318" t="s">
        <v>140</v>
      </c>
      <c r="B379" s="319" t="s">
        <v>1132</v>
      </c>
      <c r="C379" s="319" t="s">
        <v>28</v>
      </c>
      <c r="D379" s="319" t="s">
        <v>1142</v>
      </c>
      <c r="E379" s="320">
        <v>250000</v>
      </c>
      <c r="F379" s="320">
        <v>250000</v>
      </c>
    </row>
    <row r="380" spans="1:6">
      <c r="A380" s="318" t="s">
        <v>4</v>
      </c>
      <c r="B380" s="319" t="s">
        <v>1132</v>
      </c>
      <c r="C380" s="319" t="s">
        <v>28</v>
      </c>
      <c r="D380" s="319" t="s">
        <v>420</v>
      </c>
      <c r="E380" s="320">
        <v>250000</v>
      </c>
      <c r="F380" s="320">
        <v>250000</v>
      </c>
    </row>
    <row r="381" spans="1:6" ht="114.75">
      <c r="A381" s="318" t="s">
        <v>1853</v>
      </c>
      <c r="B381" s="319" t="s">
        <v>1854</v>
      </c>
      <c r="C381" s="319" t="s">
        <v>1173</v>
      </c>
      <c r="D381" s="319" t="s">
        <v>1173</v>
      </c>
      <c r="E381" s="320">
        <v>1434000</v>
      </c>
      <c r="F381" s="320">
        <v>1434000</v>
      </c>
    </row>
    <row r="382" spans="1:6" ht="38.25">
      <c r="A382" s="318" t="s">
        <v>1319</v>
      </c>
      <c r="B382" s="319" t="s">
        <v>1854</v>
      </c>
      <c r="C382" s="319" t="s">
        <v>1320</v>
      </c>
      <c r="D382" s="319" t="s">
        <v>1173</v>
      </c>
      <c r="E382" s="320">
        <v>1434000</v>
      </c>
      <c r="F382" s="320">
        <v>1434000</v>
      </c>
    </row>
    <row r="383" spans="1:6" ht="38.25">
      <c r="A383" s="318" t="s">
        <v>1196</v>
      </c>
      <c r="B383" s="319" t="s">
        <v>1854</v>
      </c>
      <c r="C383" s="319" t="s">
        <v>1197</v>
      </c>
      <c r="D383" s="319" t="s">
        <v>1173</v>
      </c>
      <c r="E383" s="320">
        <v>1434000</v>
      </c>
      <c r="F383" s="320">
        <v>1434000</v>
      </c>
    </row>
    <row r="384" spans="1:6">
      <c r="A384" s="318" t="s">
        <v>140</v>
      </c>
      <c r="B384" s="319" t="s">
        <v>1854</v>
      </c>
      <c r="C384" s="319" t="s">
        <v>1197</v>
      </c>
      <c r="D384" s="319" t="s">
        <v>1142</v>
      </c>
      <c r="E384" s="320">
        <v>1434000</v>
      </c>
      <c r="F384" s="320">
        <v>1434000</v>
      </c>
    </row>
    <row r="385" spans="1:6">
      <c r="A385" s="318" t="s">
        <v>4</v>
      </c>
      <c r="B385" s="319" t="s">
        <v>1854</v>
      </c>
      <c r="C385" s="319" t="s">
        <v>1197</v>
      </c>
      <c r="D385" s="319" t="s">
        <v>420</v>
      </c>
      <c r="E385" s="320">
        <v>1434000</v>
      </c>
      <c r="F385" s="320">
        <v>1434000</v>
      </c>
    </row>
    <row r="386" spans="1:6" ht="89.25">
      <c r="A386" s="318" t="s">
        <v>607</v>
      </c>
      <c r="B386" s="319" t="s">
        <v>1733</v>
      </c>
      <c r="C386" s="319" t="s">
        <v>1173</v>
      </c>
      <c r="D386" s="319" t="s">
        <v>1173</v>
      </c>
      <c r="E386" s="320">
        <v>73090</v>
      </c>
      <c r="F386" s="320">
        <v>73090</v>
      </c>
    </row>
    <row r="387" spans="1:6" ht="76.5">
      <c r="A387" s="318" t="s">
        <v>1318</v>
      </c>
      <c r="B387" s="319" t="s">
        <v>1733</v>
      </c>
      <c r="C387" s="319" t="s">
        <v>273</v>
      </c>
      <c r="D387" s="319" t="s">
        <v>1173</v>
      </c>
      <c r="E387" s="320">
        <v>69590</v>
      </c>
      <c r="F387" s="320">
        <v>69590</v>
      </c>
    </row>
    <row r="388" spans="1:6" ht="25.5">
      <c r="A388" s="318" t="s">
        <v>1190</v>
      </c>
      <c r="B388" s="319" t="s">
        <v>1733</v>
      </c>
      <c r="C388" s="319" t="s">
        <v>133</v>
      </c>
      <c r="D388" s="319" t="s">
        <v>1173</v>
      </c>
      <c r="E388" s="320">
        <v>69590</v>
      </c>
      <c r="F388" s="320">
        <v>69590</v>
      </c>
    </row>
    <row r="389" spans="1:6">
      <c r="A389" s="318" t="s">
        <v>140</v>
      </c>
      <c r="B389" s="319" t="s">
        <v>1733</v>
      </c>
      <c r="C389" s="319" t="s">
        <v>133</v>
      </c>
      <c r="D389" s="319" t="s">
        <v>1142</v>
      </c>
      <c r="E389" s="320">
        <v>69590</v>
      </c>
      <c r="F389" s="320">
        <v>69590</v>
      </c>
    </row>
    <row r="390" spans="1:6">
      <c r="A390" s="318" t="s">
        <v>1075</v>
      </c>
      <c r="B390" s="319" t="s">
        <v>1733</v>
      </c>
      <c r="C390" s="319" t="s">
        <v>133</v>
      </c>
      <c r="D390" s="319" t="s">
        <v>365</v>
      </c>
      <c r="E390" s="320">
        <v>69590</v>
      </c>
      <c r="F390" s="320">
        <v>69590</v>
      </c>
    </row>
    <row r="391" spans="1:6" ht="38.25">
      <c r="A391" s="318" t="s">
        <v>1319</v>
      </c>
      <c r="B391" s="319" t="s">
        <v>1733</v>
      </c>
      <c r="C391" s="319" t="s">
        <v>1320</v>
      </c>
      <c r="D391" s="319" t="s">
        <v>1173</v>
      </c>
      <c r="E391" s="320">
        <v>3500</v>
      </c>
      <c r="F391" s="320">
        <v>3500</v>
      </c>
    </row>
    <row r="392" spans="1:6" ht="38.25">
      <c r="A392" s="318" t="s">
        <v>1196</v>
      </c>
      <c r="B392" s="319" t="s">
        <v>1733</v>
      </c>
      <c r="C392" s="319" t="s">
        <v>1197</v>
      </c>
      <c r="D392" s="319" t="s">
        <v>1173</v>
      </c>
      <c r="E392" s="320">
        <v>3500</v>
      </c>
      <c r="F392" s="320">
        <v>3500</v>
      </c>
    </row>
    <row r="393" spans="1:6">
      <c r="A393" s="318" t="s">
        <v>140</v>
      </c>
      <c r="B393" s="319" t="s">
        <v>1733</v>
      </c>
      <c r="C393" s="319" t="s">
        <v>1197</v>
      </c>
      <c r="D393" s="319" t="s">
        <v>1142</v>
      </c>
      <c r="E393" s="320">
        <v>3500</v>
      </c>
      <c r="F393" s="320">
        <v>3500</v>
      </c>
    </row>
    <row r="394" spans="1:6">
      <c r="A394" s="318" t="s">
        <v>1075</v>
      </c>
      <c r="B394" s="319" t="s">
        <v>1733</v>
      </c>
      <c r="C394" s="319" t="s">
        <v>1197</v>
      </c>
      <c r="D394" s="319" t="s">
        <v>365</v>
      </c>
      <c r="E394" s="320">
        <v>3500</v>
      </c>
      <c r="F394" s="320">
        <v>3500</v>
      </c>
    </row>
    <row r="395" spans="1:6" ht="114.75">
      <c r="A395" s="318" t="s">
        <v>608</v>
      </c>
      <c r="B395" s="319" t="s">
        <v>1734</v>
      </c>
      <c r="C395" s="319" t="s">
        <v>1173</v>
      </c>
      <c r="D395" s="319" t="s">
        <v>1173</v>
      </c>
      <c r="E395" s="320">
        <v>200000</v>
      </c>
      <c r="F395" s="320">
        <v>200000</v>
      </c>
    </row>
    <row r="396" spans="1:6" ht="38.25">
      <c r="A396" s="318" t="s">
        <v>1319</v>
      </c>
      <c r="B396" s="319" t="s">
        <v>1734</v>
      </c>
      <c r="C396" s="319" t="s">
        <v>1320</v>
      </c>
      <c r="D396" s="319" t="s">
        <v>1173</v>
      </c>
      <c r="E396" s="320">
        <v>200000</v>
      </c>
      <c r="F396" s="320">
        <v>200000</v>
      </c>
    </row>
    <row r="397" spans="1:6" ht="38.25">
      <c r="A397" s="318" t="s">
        <v>1196</v>
      </c>
      <c r="B397" s="319" t="s">
        <v>1734</v>
      </c>
      <c r="C397" s="319" t="s">
        <v>1197</v>
      </c>
      <c r="D397" s="319" t="s">
        <v>1173</v>
      </c>
      <c r="E397" s="320">
        <v>200000</v>
      </c>
      <c r="F397" s="320">
        <v>200000</v>
      </c>
    </row>
    <row r="398" spans="1:6">
      <c r="A398" s="318" t="s">
        <v>140</v>
      </c>
      <c r="B398" s="319" t="s">
        <v>1734</v>
      </c>
      <c r="C398" s="319" t="s">
        <v>1197</v>
      </c>
      <c r="D398" s="319" t="s">
        <v>1142</v>
      </c>
      <c r="E398" s="320">
        <v>200000</v>
      </c>
      <c r="F398" s="320">
        <v>200000</v>
      </c>
    </row>
    <row r="399" spans="1:6">
      <c r="A399" s="318" t="s">
        <v>1075</v>
      </c>
      <c r="B399" s="319" t="s">
        <v>1734</v>
      </c>
      <c r="C399" s="319" t="s">
        <v>1197</v>
      </c>
      <c r="D399" s="319" t="s">
        <v>365</v>
      </c>
      <c r="E399" s="320">
        <v>200000</v>
      </c>
      <c r="F399" s="320">
        <v>200000</v>
      </c>
    </row>
    <row r="400" spans="1:6" ht="25.5">
      <c r="A400" s="318" t="s">
        <v>1708</v>
      </c>
      <c r="B400" s="319" t="s">
        <v>1709</v>
      </c>
      <c r="C400" s="319" t="s">
        <v>1173</v>
      </c>
      <c r="D400" s="319" t="s">
        <v>1173</v>
      </c>
      <c r="E400" s="320">
        <v>786000</v>
      </c>
      <c r="F400" s="320">
        <v>786000</v>
      </c>
    </row>
    <row r="401" spans="1:6" ht="25.5">
      <c r="A401" s="318" t="s">
        <v>1715</v>
      </c>
      <c r="B401" s="319" t="s">
        <v>1716</v>
      </c>
      <c r="C401" s="319" t="s">
        <v>1173</v>
      </c>
      <c r="D401" s="319" t="s">
        <v>1173</v>
      </c>
      <c r="E401" s="320">
        <v>786000</v>
      </c>
      <c r="F401" s="320">
        <v>786000</v>
      </c>
    </row>
    <row r="402" spans="1:6" ht="102">
      <c r="A402" s="318" t="s">
        <v>1717</v>
      </c>
      <c r="B402" s="319" t="s">
        <v>1718</v>
      </c>
      <c r="C402" s="319" t="s">
        <v>1173</v>
      </c>
      <c r="D402" s="319" t="s">
        <v>1173</v>
      </c>
      <c r="E402" s="320">
        <v>786000</v>
      </c>
      <c r="F402" s="320">
        <v>786000</v>
      </c>
    </row>
    <row r="403" spans="1:6" ht="76.5">
      <c r="A403" s="318" t="s">
        <v>1318</v>
      </c>
      <c r="B403" s="319" t="s">
        <v>1718</v>
      </c>
      <c r="C403" s="319" t="s">
        <v>273</v>
      </c>
      <c r="D403" s="319" t="s">
        <v>1173</v>
      </c>
      <c r="E403" s="320">
        <v>77700</v>
      </c>
      <c r="F403" s="320">
        <v>77700</v>
      </c>
    </row>
    <row r="404" spans="1:6" ht="38.25">
      <c r="A404" s="318" t="s">
        <v>1203</v>
      </c>
      <c r="B404" s="319" t="s">
        <v>1718</v>
      </c>
      <c r="C404" s="319" t="s">
        <v>28</v>
      </c>
      <c r="D404" s="319" t="s">
        <v>1173</v>
      </c>
      <c r="E404" s="320">
        <v>77700</v>
      </c>
      <c r="F404" s="320">
        <v>77700</v>
      </c>
    </row>
    <row r="405" spans="1:6">
      <c r="A405" s="318" t="s">
        <v>1646</v>
      </c>
      <c r="B405" s="319" t="s">
        <v>1718</v>
      </c>
      <c r="C405" s="319" t="s">
        <v>28</v>
      </c>
      <c r="D405" s="319" t="s">
        <v>1647</v>
      </c>
      <c r="E405" s="320">
        <v>77700</v>
      </c>
      <c r="F405" s="320">
        <v>77700</v>
      </c>
    </row>
    <row r="406" spans="1:6" ht="25.5">
      <c r="A406" s="318" t="s">
        <v>1713</v>
      </c>
      <c r="B406" s="319" t="s">
        <v>1718</v>
      </c>
      <c r="C406" s="319" t="s">
        <v>28</v>
      </c>
      <c r="D406" s="319" t="s">
        <v>1714</v>
      </c>
      <c r="E406" s="320">
        <v>77700</v>
      </c>
      <c r="F406" s="320">
        <v>77700</v>
      </c>
    </row>
    <row r="407" spans="1:6" ht="38.25">
      <c r="A407" s="318" t="s">
        <v>1319</v>
      </c>
      <c r="B407" s="319" t="s">
        <v>1718</v>
      </c>
      <c r="C407" s="319" t="s">
        <v>1320</v>
      </c>
      <c r="D407" s="319" t="s">
        <v>1173</v>
      </c>
      <c r="E407" s="320">
        <v>708300</v>
      </c>
      <c r="F407" s="320">
        <v>708300</v>
      </c>
    </row>
    <row r="408" spans="1:6" ht="38.25">
      <c r="A408" s="318" t="s">
        <v>1196</v>
      </c>
      <c r="B408" s="319" t="s">
        <v>1718</v>
      </c>
      <c r="C408" s="319" t="s">
        <v>1197</v>
      </c>
      <c r="D408" s="319" t="s">
        <v>1173</v>
      </c>
      <c r="E408" s="320">
        <v>708300</v>
      </c>
      <c r="F408" s="320">
        <v>708300</v>
      </c>
    </row>
    <row r="409" spans="1:6">
      <c r="A409" s="318" t="s">
        <v>1646</v>
      </c>
      <c r="B409" s="319" t="s">
        <v>1718</v>
      </c>
      <c r="C409" s="319" t="s">
        <v>1197</v>
      </c>
      <c r="D409" s="319" t="s">
        <v>1647</v>
      </c>
      <c r="E409" s="320">
        <v>708300</v>
      </c>
      <c r="F409" s="320">
        <v>708300</v>
      </c>
    </row>
    <row r="410" spans="1:6" ht="25.5">
      <c r="A410" s="318" t="s">
        <v>1713</v>
      </c>
      <c r="B410" s="319" t="s">
        <v>1718</v>
      </c>
      <c r="C410" s="319" t="s">
        <v>1197</v>
      </c>
      <c r="D410" s="319" t="s">
        <v>1714</v>
      </c>
      <c r="E410" s="320">
        <v>708300</v>
      </c>
      <c r="F410" s="320">
        <v>708300</v>
      </c>
    </row>
    <row r="411" spans="1:6" ht="63.75">
      <c r="A411" s="318" t="s">
        <v>452</v>
      </c>
      <c r="B411" s="319" t="s">
        <v>974</v>
      </c>
      <c r="C411" s="319" t="s">
        <v>1173</v>
      </c>
      <c r="D411" s="319" t="s">
        <v>1173</v>
      </c>
      <c r="E411" s="320">
        <v>252292294</v>
      </c>
      <c r="F411" s="320">
        <v>252292294</v>
      </c>
    </row>
    <row r="412" spans="1:6" ht="51">
      <c r="A412" s="318" t="s">
        <v>591</v>
      </c>
      <c r="B412" s="319" t="s">
        <v>975</v>
      </c>
      <c r="C412" s="319" t="s">
        <v>1173</v>
      </c>
      <c r="D412" s="319" t="s">
        <v>1173</v>
      </c>
      <c r="E412" s="320">
        <v>249622840</v>
      </c>
      <c r="F412" s="320">
        <v>249622840</v>
      </c>
    </row>
    <row r="413" spans="1:6" ht="140.25">
      <c r="A413" s="318" t="s">
        <v>1161</v>
      </c>
      <c r="B413" s="319" t="s">
        <v>679</v>
      </c>
      <c r="C413" s="319" t="s">
        <v>1173</v>
      </c>
      <c r="D413" s="319" t="s">
        <v>1173</v>
      </c>
      <c r="E413" s="320">
        <v>227801100</v>
      </c>
      <c r="F413" s="320">
        <v>227801100</v>
      </c>
    </row>
    <row r="414" spans="1:6" ht="76.5">
      <c r="A414" s="318" t="s">
        <v>1318</v>
      </c>
      <c r="B414" s="319" t="s">
        <v>679</v>
      </c>
      <c r="C414" s="319" t="s">
        <v>273</v>
      </c>
      <c r="D414" s="319" t="s">
        <v>1173</v>
      </c>
      <c r="E414" s="320">
        <v>881193</v>
      </c>
      <c r="F414" s="320">
        <v>881193</v>
      </c>
    </row>
    <row r="415" spans="1:6" ht="25.5">
      <c r="A415" s="318" t="s">
        <v>1190</v>
      </c>
      <c r="B415" s="319" t="s">
        <v>679</v>
      </c>
      <c r="C415" s="319" t="s">
        <v>133</v>
      </c>
      <c r="D415" s="319" t="s">
        <v>1173</v>
      </c>
      <c r="E415" s="320">
        <v>881193</v>
      </c>
      <c r="F415" s="320">
        <v>881193</v>
      </c>
    </row>
    <row r="416" spans="1:6" ht="25.5">
      <c r="A416" s="318" t="s">
        <v>239</v>
      </c>
      <c r="B416" s="319" t="s">
        <v>679</v>
      </c>
      <c r="C416" s="319" t="s">
        <v>133</v>
      </c>
      <c r="D416" s="319" t="s">
        <v>1141</v>
      </c>
      <c r="E416" s="320">
        <v>881193</v>
      </c>
      <c r="F416" s="320">
        <v>881193</v>
      </c>
    </row>
    <row r="417" spans="1:6">
      <c r="A417" s="318" t="s">
        <v>146</v>
      </c>
      <c r="B417" s="319" t="s">
        <v>679</v>
      </c>
      <c r="C417" s="319" t="s">
        <v>133</v>
      </c>
      <c r="D417" s="319" t="s">
        <v>364</v>
      </c>
      <c r="E417" s="320">
        <v>881193</v>
      </c>
      <c r="F417" s="320">
        <v>881193</v>
      </c>
    </row>
    <row r="418" spans="1:6" ht="38.25">
      <c r="A418" s="318" t="s">
        <v>1319</v>
      </c>
      <c r="B418" s="319" t="s">
        <v>679</v>
      </c>
      <c r="C418" s="319" t="s">
        <v>1320</v>
      </c>
      <c r="D418" s="319" t="s">
        <v>1173</v>
      </c>
      <c r="E418" s="320">
        <v>548607</v>
      </c>
      <c r="F418" s="320">
        <v>548607</v>
      </c>
    </row>
    <row r="419" spans="1:6" ht="38.25">
      <c r="A419" s="318" t="s">
        <v>1196</v>
      </c>
      <c r="B419" s="319" t="s">
        <v>679</v>
      </c>
      <c r="C419" s="319" t="s">
        <v>1197</v>
      </c>
      <c r="D419" s="319" t="s">
        <v>1173</v>
      </c>
      <c r="E419" s="320">
        <v>548607</v>
      </c>
      <c r="F419" s="320">
        <v>548607</v>
      </c>
    </row>
    <row r="420" spans="1:6" ht="25.5">
      <c r="A420" s="318" t="s">
        <v>239</v>
      </c>
      <c r="B420" s="319" t="s">
        <v>679</v>
      </c>
      <c r="C420" s="319" t="s">
        <v>1197</v>
      </c>
      <c r="D420" s="319" t="s">
        <v>1141</v>
      </c>
      <c r="E420" s="320">
        <v>548607</v>
      </c>
      <c r="F420" s="320">
        <v>548607</v>
      </c>
    </row>
    <row r="421" spans="1:6">
      <c r="A421" s="318" t="s">
        <v>146</v>
      </c>
      <c r="B421" s="319" t="s">
        <v>679</v>
      </c>
      <c r="C421" s="319" t="s">
        <v>1197</v>
      </c>
      <c r="D421" s="319" t="s">
        <v>364</v>
      </c>
      <c r="E421" s="320">
        <v>548607</v>
      </c>
      <c r="F421" s="320">
        <v>548607</v>
      </c>
    </row>
    <row r="422" spans="1:6">
      <c r="A422" s="318" t="s">
        <v>1321</v>
      </c>
      <c r="B422" s="319" t="s">
        <v>679</v>
      </c>
      <c r="C422" s="319" t="s">
        <v>1322</v>
      </c>
      <c r="D422" s="319" t="s">
        <v>1173</v>
      </c>
      <c r="E422" s="320">
        <v>226371300</v>
      </c>
      <c r="F422" s="320">
        <v>226371300</v>
      </c>
    </row>
    <row r="423" spans="1:6" ht="63.75">
      <c r="A423" s="318" t="s">
        <v>1206</v>
      </c>
      <c r="B423" s="319" t="s">
        <v>679</v>
      </c>
      <c r="C423" s="319" t="s">
        <v>354</v>
      </c>
      <c r="D423" s="319" t="s">
        <v>1173</v>
      </c>
      <c r="E423" s="320">
        <v>226371300</v>
      </c>
      <c r="F423" s="320">
        <v>226371300</v>
      </c>
    </row>
    <row r="424" spans="1:6" ht="25.5">
      <c r="A424" s="318" t="s">
        <v>239</v>
      </c>
      <c r="B424" s="319" t="s">
        <v>679</v>
      </c>
      <c r="C424" s="319" t="s">
        <v>354</v>
      </c>
      <c r="D424" s="319" t="s">
        <v>1141</v>
      </c>
      <c r="E424" s="320">
        <v>226371300</v>
      </c>
      <c r="F424" s="320">
        <v>226371300</v>
      </c>
    </row>
    <row r="425" spans="1:6">
      <c r="A425" s="318" t="s">
        <v>146</v>
      </c>
      <c r="B425" s="319" t="s">
        <v>679</v>
      </c>
      <c r="C425" s="319" t="s">
        <v>354</v>
      </c>
      <c r="D425" s="319" t="s">
        <v>364</v>
      </c>
      <c r="E425" s="320">
        <v>226371300</v>
      </c>
      <c r="F425" s="320">
        <v>226371300</v>
      </c>
    </row>
    <row r="426" spans="1:6" ht="216.75">
      <c r="A426" s="318" t="s">
        <v>1345</v>
      </c>
      <c r="B426" s="319" t="s">
        <v>678</v>
      </c>
      <c r="C426" s="319" t="s">
        <v>1173</v>
      </c>
      <c r="D426" s="319" t="s">
        <v>1173</v>
      </c>
      <c r="E426" s="320">
        <v>17100500</v>
      </c>
      <c r="F426" s="320">
        <v>17100500</v>
      </c>
    </row>
    <row r="427" spans="1:6">
      <c r="A427" s="318" t="s">
        <v>1321</v>
      </c>
      <c r="B427" s="319" t="s">
        <v>678</v>
      </c>
      <c r="C427" s="319" t="s">
        <v>1322</v>
      </c>
      <c r="D427" s="319" t="s">
        <v>1173</v>
      </c>
      <c r="E427" s="320">
        <v>17100500</v>
      </c>
      <c r="F427" s="320">
        <v>17100500</v>
      </c>
    </row>
    <row r="428" spans="1:6" ht="63.75">
      <c r="A428" s="318" t="s">
        <v>1206</v>
      </c>
      <c r="B428" s="319" t="s">
        <v>678</v>
      </c>
      <c r="C428" s="319" t="s">
        <v>354</v>
      </c>
      <c r="D428" s="319" t="s">
        <v>1173</v>
      </c>
      <c r="E428" s="320">
        <v>17100500</v>
      </c>
      <c r="F428" s="320">
        <v>17100500</v>
      </c>
    </row>
    <row r="429" spans="1:6" ht="25.5">
      <c r="A429" s="318" t="s">
        <v>239</v>
      </c>
      <c r="B429" s="319" t="s">
        <v>678</v>
      </c>
      <c r="C429" s="319" t="s">
        <v>354</v>
      </c>
      <c r="D429" s="319" t="s">
        <v>1141</v>
      </c>
      <c r="E429" s="320">
        <v>17100500</v>
      </c>
      <c r="F429" s="320">
        <v>17100500</v>
      </c>
    </row>
    <row r="430" spans="1:6">
      <c r="A430" s="318" t="s">
        <v>146</v>
      </c>
      <c r="B430" s="319" t="s">
        <v>678</v>
      </c>
      <c r="C430" s="319" t="s">
        <v>354</v>
      </c>
      <c r="D430" s="319" t="s">
        <v>364</v>
      </c>
      <c r="E430" s="320">
        <v>17100500</v>
      </c>
      <c r="F430" s="320">
        <v>17100500</v>
      </c>
    </row>
    <row r="431" spans="1:6" ht="153">
      <c r="A431" s="318" t="s">
        <v>1314</v>
      </c>
      <c r="B431" s="319" t="s">
        <v>1315</v>
      </c>
      <c r="C431" s="319" t="s">
        <v>1173</v>
      </c>
      <c r="D431" s="319" t="s">
        <v>1173</v>
      </c>
      <c r="E431" s="320">
        <v>3870201</v>
      </c>
      <c r="F431" s="320">
        <v>3870201</v>
      </c>
    </row>
    <row r="432" spans="1:6" ht="76.5">
      <c r="A432" s="318" t="s">
        <v>1318</v>
      </c>
      <c r="B432" s="319" t="s">
        <v>1315</v>
      </c>
      <c r="C432" s="319" t="s">
        <v>273</v>
      </c>
      <c r="D432" s="319" t="s">
        <v>1173</v>
      </c>
      <c r="E432" s="320">
        <v>2402551</v>
      </c>
      <c r="F432" s="320">
        <v>2402551</v>
      </c>
    </row>
    <row r="433" spans="1:6" ht="25.5">
      <c r="A433" s="318" t="s">
        <v>1190</v>
      </c>
      <c r="B433" s="319" t="s">
        <v>1315</v>
      </c>
      <c r="C433" s="319" t="s">
        <v>133</v>
      </c>
      <c r="D433" s="319" t="s">
        <v>1173</v>
      </c>
      <c r="E433" s="320">
        <v>2402551</v>
      </c>
      <c r="F433" s="320">
        <v>2402551</v>
      </c>
    </row>
    <row r="434" spans="1:6" ht="25.5">
      <c r="A434" s="318" t="s">
        <v>239</v>
      </c>
      <c r="B434" s="319" t="s">
        <v>1315</v>
      </c>
      <c r="C434" s="319" t="s">
        <v>133</v>
      </c>
      <c r="D434" s="319" t="s">
        <v>1141</v>
      </c>
      <c r="E434" s="320">
        <v>2402551</v>
      </c>
      <c r="F434" s="320">
        <v>2402551</v>
      </c>
    </row>
    <row r="435" spans="1:6">
      <c r="A435" s="318" t="s">
        <v>146</v>
      </c>
      <c r="B435" s="319" t="s">
        <v>1315</v>
      </c>
      <c r="C435" s="319" t="s">
        <v>133</v>
      </c>
      <c r="D435" s="319" t="s">
        <v>364</v>
      </c>
      <c r="E435" s="320">
        <v>2402551</v>
      </c>
      <c r="F435" s="320">
        <v>2402551</v>
      </c>
    </row>
    <row r="436" spans="1:6" ht="38.25">
      <c r="A436" s="318" t="s">
        <v>1319</v>
      </c>
      <c r="B436" s="319" t="s">
        <v>1315</v>
      </c>
      <c r="C436" s="319" t="s">
        <v>1320</v>
      </c>
      <c r="D436" s="319" t="s">
        <v>1173</v>
      </c>
      <c r="E436" s="320">
        <v>1467650</v>
      </c>
      <c r="F436" s="320">
        <v>1467650</v>
      </c>
    </row>
    <row r="437" spans="1:6" ht="38.25">
      <c r="A437" s="318" t="s">
        <v>1196</v>
      </c>
      <c r="B437" s="319" t="s">
        <v>1315</v>
      </c>
      <c r="C437" s="319" t="s">
        <v>1197</v>
      </c>
      <c r="D437" s="319" t="s">
        <v>1173</v>
      </c>
      <c r="E437" s="320">
        <v>1467650</v>
      </c>
      <c r="F437" s="320">
        <v>1467650</v>
      </c>
    </row>
    <row r="438" spans="1:6" ht="25.5">
      <c r="A438" s="318" t="s">
        <v>239</v>
      </c>
      <c r="B438" s="319" t="s">
        <v>1315</v>
      </c>
      <c r="C438" s="319" t="s">
        <v>1197</v>
      </c>
      <c r="D438" s="319" t="s">
        <v>1141</v>
      </c>
      <c r="E438" s="320">
        <v>1467650</v>
      </c>
      <c r="F438" s="320">
        <v>1467650</v>
      </c>
    </row>
    <row r="439" spans="1:6">
      <c r="A439" s="318" t="s">
        <v>146</v>
      </c>
      <c r="B439" s="319" t="s">
        <v>1315</v>
      </c>
      <c r="C439" s="319" t="s">
        <v>1197</v>
      </c>
      <c r="D439" s="319" t="s">
        <v>364</v>
      </c>
      <c r="E439" s="320">
        <v>1467650</v>
      </c>
      <c r="F439" s="320">
        <v>1467650</v>
      </c>
    </row>
    <row r="440" spans="1:6" ht="216.75">
      <c r="A440" s="318" t="s">
        <v>1369</v>
      </c>
      <c r="B440" s="319" t="s">
        <v>1370</v>
      </c>
      <c r="C440" s="319" t="s">
        <v>1173</v>
      </c>
      <c r="D440" s="319" t="s">
        <v>1173</v>
      </c>
      <c r="E440" s="320">
        <v>282524</v>
      </c>
      <c r="F440" s="320">
        <v>282524</v>
      </c>
    </row>
    <row r="441" spans="1:6" ht="76.5">
      <c r="A441" s="318" t="s">
        <v>1318</v>
      </c>
      <c r="B441" s="319" t="s">
        <v>1370</v>
      </c>
      <c r="C441" s="319" t="s">
        <v>273</v>
      </c>
      <c r="D441" s="319" t="s">
        <v>1173</v>
      </c>
      <c r="E441" s="320">
        <v>282524</v>
      </c>
      <c r="F441" s="320">
        <v>282524</v>
      </c>
    </row>
    <row r="442" spans="1:6" ht="25.5">
      <c r="A442" s="318" t="s">
        <v>1190</v>
      </c>
      <c r="B442" s="319" t="s">
        <v>1370</v>
      </c>
      <c r="C442" s="319" t="s">
        <v>133</v>
      </c>
      <c r="D442" s="319" t="s">
        <v>1173</v>
      </c>
      <c r="E442" s="320">
        <v>282524</v>
      </c>
      <c r="F442" s="320">
        <v>282524</v>
      </c>
    </row>
    <row r="443" spans="1:6" ht="25.5">
      <c r="A443" s="318" t="s">
        <v>239</v>
      </c>
      <c r="B443" s="319" t="s">
        <v>1370</v>
      </c>
      <c r="C443" s="319" t="s">
        <v>133</v>
      </c>
      <c r="D443" s="319" t="s">
        <v>1141</v>
      </c>
      <c r="E443" s="320">
        <v>282524</v>
      </c>
      <c r="F443" s="320">
        <v>282524</v>
      </c>
    </row>
    <row r="444" spans="1:6">
      <c r="A444" s="318" t="s">
        <v>146</v>
      </c>
      <c r="B444" s="319" t="s">
        <v>1370</v>
      </c>
      <c r="C444" s="319" t="s">
        <v>133</v>
      </c>
      <c r="D444" s="319" t="s">
        <v>364</v>
      </c>
      <c r="E444" s="320">
        <v>282524</v>
      </c>
      <c r="F444" s="320">
        <v>282524</v>
      </c>
    </row>
    <row r="445" spans="1:6" ht="178.5">
      <c r="A445" s="318" t="s">
        <v>1735</v>
      </c>
      <c r="B445" s="319" t="s">
        <v>1736</v>
      </c>
      <c r="C445" s="319" t="s">
        <v>1173</v>
      </c>
      <c r="D445" s="319" t="s">
        <v>1173</v>
      </c>
      <c r="E445" s="320">
        <v>40000</v>
      </c>
      <c r="F445" s="320">
        <v>40000</v>
      </c>
    </row>
    <row r="446" spans="1:6" ht="76.5">
      <c r="A446" s="318" t="s">
        <v>1318</v>
      </c>
      <c r="B446" s="319" t="s">
        <v>1736</v>
      </c>
      <c r="C446" s="319" t="s">
        <v>273</v>
      </c>
      <c r="D446" s="319" t="s">
        <v>1173</v>
      </c>
      <c r="E446" s="320">
        <v>40000</v>
      </c>
      <c r="F446" s="320">
        <v>40000</v>
      </c>
    </row>
    <row r="447" spans="1:6" ht="25.5">
      <c r="A447" s="318" t="s">
        <v>1190</v>
      </c>
      <c r="B447" s="319" t="s">
        <v>1736</v>
      </c>
      <c r="C447" s="319" t="s">
        <v>133</v>
      </c>
      <c r="D447" s="319" t="s">
        <v>1173</v>
      </c>
      <c r="E447" s="320">
        <v>40000</v>
      </c>
      <c r="F447" s="320">
        <v>40000</v>
      </c>
    </row>
    <row r="448" spans="1:6" ht="25.5">
      <c r="A448" s="318" t="s">
        <v>239</v>
      </c>
      <c r="B448" s="319" t="s">
        <v>1736</v>
      </c>
      <c r="C448" s="319" t="s">
        <v>133</v>
      </c>
      <c r="D448" s="319" t="s">
        <v>1141</v>
      </c>
      <c r="E448" s="320">
        <v>40000</v>
      </c>
      <c r="F448" s="320">
        <v>40000</v>
      </c>
    </row>
    <row r="449" spans="1:6">
      <c r="A449" s="318" t="s">
        <v>146</v>
      </c>
      <c r="B449" s="319" t="s">
        <v>1736</v>
      </c>
      <c r="C449" s="319" t="s">
        <v>133</v>
      </c>
      <c r="D449" s="319" t="s">
        <v>364</v>
      </c>
      <c r="E449" s="320">
        <v>40000</v>
      </c>
      <c r="F449" s="320">
        <v>40000</v>
      </c>
    </row>
    <row r="450" spans="1:6" ht="165.75">
      <c r="A450" s="318" t="s">
        <v>1316</v>
      </c>
      <c r="B450" s="319" t="s">
        <v>1317</v>
      </c>
      <c r="C450" s="319" t="s">
        <v>1173</v>
      </c>
      <c r="D450" s="319" t="s">
        <v>1173</v>
      </c>
      <c r="E450" s="320">
        <v>528515</v>
      </c>
      <c r="F450" s="320">
        <v>528515</v>
      </c>
    </row>
    <row r="451" spans="1:6" ht="38.25">
      <c r="A451" s="318" t="s">
        <v>1319</v>
      </c>
      <c r="B451" s="319" t="s">
        <v>1317</v>
      </c>
      <c r="C451" s="319" t="s">
        <v>1320</v>
      </c>
      <c r="D451" s="319" t="s">
        <v>1173</v>
      </c>
      <c r="E451" s="320">
        <v>528515</v>
      </c>
      <c r="F451" s="320">
        <v>528515</v>
      </c>
    </row>
    <row r="452" spans="1:6" ht="38.25">
      <c r="A452" s="318" t="s">
        <v>1196</v>
      </c>
      <c r="B452" s="319" t="s">
        <v>1317</v>
      </c>
      <c r="C452" s="319" t="s">
        <v>1197</v>
      </c>
      <c r="D452" s="319" t="s">
        <v>1173</v>
      </c>
      <c r="E452" s="320">
        <v>528515</v>
      </c>
      <c r="F452" s="320">
        <v>528515</v>
      </c>
    </row>
    <row r="453" spans="1:6" ht="25.5">
      <c r="A453" s="318" t="s">
        <v>239</v>
      </c>
      <c r="B453" s="319" t="s">
        <v>1317</v>
      </c>
      <c r="C453" s="319" t="s">
        <v>1197</v>
      </c>
      <c r="D453" s="319" t="s">
        <v>1141</v>
      </c>
      <c r="E453" s="320">
        <v>528515</v>
      </c>
      <c r="F453" s="320">
        <v>528515</v>
      </c>
    </row>
    <row r="454" spans="1:6">
      <c r="A454" s="318" t="s">
        <v>146</v>
      </c>
      <c r="B454" s="319" t="s">
        <v>1317</v>
      </c>
      <c r="C454" s="319" t="s">
        <v>1197</v>
      </c>
      <c r="D454" s="319" t="s">
        <v>364</v>
      </c>
      <c r="E454" s="320">
        <v>528515</v>
      </c>
      <c r="F454" s="320">
        <v>528515</v>
      </c>
    </row>
    <row r="455" spans="1:6" ht="63.75">
      <c r="A455" s="318" t="s">
        <v>592</v>
      </c>
      <c r="B455" s="319" t="s">
        <v>976</v>
      </c>
      <c r="C455" s="319" t="s">
        <v>1173</v>
      </c>
      <c r="D455" s="319" t="s">
        <v>1173</v>
      </c>
      <c r="E455" s="320">
        <v>269454</v>
      </c>
      <c r="F455" s="320">
        <v>269454</v>
      </c>
    </row>
    <row r="456" spans="1:6" ht="127.5">
      <c r="A456" s="318" t="s">
        <v>529</v>
      </c>
      <c r="B456" s="319" t="s">
        <v>737</v>
      </c>
      <c r="C456" s="319" t="s">
        <v>1173</v>
      </c>
      <c r="D456" s="319" t="s">
        <v>1173</v>
      </c>
      <c r="E456" s="320">
        <v>269454</v>
      </c>
      <c r="F456" s="320">
        <v>269454</v>
      </c>
    </row>
    <row r="457" spans="1:6" ht="38.25">
      <c r="A457" s="318" t="s">
        <v>1319</v>
      </c>
      <c r="B457" s="319" t="s">
        <v>737</v>
      </c>
      <c r="C457" s="319" t="s">
        <v>1320</v>
      </c>
      <c r="D457" s="319" t="s">
        <v>1173</v>
      </c>
      <c r="E457" s="320">
        <v>269454</v>
      </c>
      <c r="F457" s="320">
        <v>269454</v>
      </c>
    </row>
    <row r="458" spans="1:6" ht="38.25">
      <c r="A458" s="318" t="s">
        <v>1196</v>
      </c>
      <c r="B458" s="319" t="s">
        <v>737</v>
      </c>
      <c r="C458" s="319" t="s">
        <v>1197</v>
      </c>
      <c r="D458" s="319" t="s">
        <v>1173</v>
      </c>
      <c r="E458" s="320">
        <v>269454</v>
      </c>
      <c r="F458" s="320">
        <v>269454</v>
      </c>
    </row>
    <row r="459" spans="1:6" ht="25.5">
      <c r="A459" s="318" t="s">
        <v>239</v>
      </c>
      <c r="B459" s="319" t="s">
        <v>737</v>
      </c>
      <c r="C459" s="319" t="s">
        <v>1197</v>
      </c>
      <c r="D459" s="319" t="s">
        <v>1141</v>
      </c>
      <c r="E459" s="320">
        <v>269454</v>
      </c>
      <c r="F459" s="320">
        <v>269454</v>
      </c>
    </row>
    <row r="460" spans="1:6">
      <c r="A460" s="318" t="s">
        <v>3</v>
      </c>
      <c r="B460" s="319" t="s">
        <v>737</v>
      </c>
      <c r="C460" s="319" t="s">
        <v>1197</v>
      </c>
      <c r="D460" s="319" t="s">
        <v>386</v>
      </c>
      <c r="E460" s="320">
        <v>269454</v>
      </c>
      <c r="F460" s="320">
        <v>269454</v>
      </c>
    </row>
    <row r="461" spans="1:6" ht="51">
      <c r="A461" s="318" t="s">
        <v>454</v>
      </c>
      <c r="B461" s="319" t="s">
        <v>1313</v>
      </c>
      <c r="C461" s="319" t="s">
        <v>1173</v>
      </c>
      <c r="D461" s="319" t="s">
        <v>1173</v>
      </c>
      <c r="E461" s="320">
        <v>2400000</v>
      </c>
      <c r="F461" s="320">
        <v>2400000</v>
      </c>
    </row>
    <row r="462" spans="1:6" ht="114.75">
      <c r="A462" s="318" t="s">
        <v>396</v>
      </c>
      <c r="B462" s="319" t="s">
        <v>765</v>
      </c>
      <c r="C462" s="319" t="s">
        <v>1173</v>
      </c>
      <c r="D462" s="319" t="s">
        <v>1173</v>
      </c>
      <c r="E462" s="320">
        <v>2400000</v>
      </c>
      <c r="F462" s="320">
        <v>2400000</v>
      </c>
    </row>
    <row r="463" spans="1:6" ht="38.25">
      <c r="A463" s="318" t="s">
        <v>1319</v>
      </c>
      <c r="B463" s="319" t="s">
        <v>765</v>
      </c>
      <c r="C463" s="319" t="s">
        <v>1320</v>
      </c>
      <c r="D463" s="319" t="s">
        <v>1173</v>
      </c>
      <c r="E463" s="320">
        <v>2400000</v>
      </c>
      <c r="F463" s="320">
        <v>2400000</v>
      </c>
    </row>
    <row r="464" spans="1:6" ht="38.25">
      <c r="A464" s="318" t="s">
        <v>1196</v>
      </c>
      <c r="B464" s="319" t="s">
        <v>765</v>
      </c>
      <c r="C464" s="319" t="s">
        <v>1197</v>
      </c>
      <c r="D464" s="319" t="s">
        <v>1173</v>
      </c>
      <c r="E464" s="320">
        <v>2400000</v>
      </c>
      <c r="F464" s="320">
        <v>2400000</v>
      </c>
    </row>
    <row r="465" spans="1:6">
      <c r="A465" s="318" t="s">
        <v>140</v>
      </c>
      <c r="B465" s="319" t="s">
        <v>765</v>
      </c>
      <c r="C465" s="319" t="s">
        <v>1197</v>
      </c>
      <c r="D465" s="319" t="s">
        <v>1142</v>
      </c>
      <c r="E465" s="320">
        <v>2400000</v>
      </c>
      <c r="F465" s="320">
        <v>2400000</v>
      </c>
    </row>
    <row r="466" spans="1:6">
      <c r="A466" s="318" t="s">
        <v>153</v>
      </c>
      <c r="B466" s="319" t="s">
        <v>765</v>
      </c>
      <c r="C466" s="319" t="s">
        <v>1197</v>
      </c>
      <c r="D466" s="319" t="s">
        <v>395</v>
      </c>
      <c r="E466" s="320">
        <v>2400000</v>
      </c>
      <c r="F466" s="320">
        <v>2400000</v>
      </c>
    </row>
    <row r="467" spans="1:6" ht="63.75">
      <c r="A467" s="318" t="s">
        <v>1751</v>
      </c>
      <c r="B467" s="319" t="s">
        <v>978</v>
      </c>
      <c r="C467" s="319" t="s">
        <v>1173</v>
      </c>
      <c r="D467" s="319" t="s">
        <v>1173</v>
      </c>
      <c r="E467" s="320">
        <v>37770625.140000001</v>
      </c>
      <c r="F467" s="320">
        <v>37770625.140000001</v>
      </c>
    </row>
    <row r="468" spans="1:6" ht="89.25">
      <c r="A468" s="318" t="s">
        <v>457</v>
      </c>
      <c r="B468" s="319" t="s">
        <v>979</v>
      </c>
      <c r="C468" s="319" t="s">
        <v>1173</v>
      </c>
      <c r="D468" s="319" t="s">
        <v>1173</v>
      </c>
      <c r="E468" s="320">
        <v>7388522.1399999997</v>
      </c>
      <c r="F468" s="320">
        <v>7388522.1399999997</v>
      </c>
    </row>
    <row r="469" spans="1:6" ht="165.75">
      <c r="A469" s="318" t="s">
        <v>341</v>
      </c>
      <c r="B469" s="319" t="s">
        <v>656</v>
      </c>
      <c r="C469" s="319" t="s">
        <v>1173</v>
      </c>
      <c r="D469" s="319" t="s">
        <v>1173</v>
      </c>
      <c r="E469" s="320">
        <v>5346382</v>
      </c>
      <c r="F469" s="320">
        <v>5346382</v>
      </c>
    </row>
    <row r="470" spans="1:6" ht="76.5">
      <c r="A470" s="318" t="s">
        <v>1318</v>
      </c>
      <c r="B470" s="319" t="s">
        <v>656</v>
      </c>
      <c r="C470" s="319" t="s">
        <v>273</v>
      </c>
      <c r="D470" s="319" t="s">
        <v>1173</v>
      </c>
      <c r="E470" s="320">
        <v>5336382</v>
      </c>
      <c r="F470" s="320">
        <v>5336382</v>
      </c>
    </row>
    <row r="471" spans="1:6" ht="25.5">
      <c r="A471" s="318" t="s">
        <v>1190</v>
      </c>
      <c r="B471" s="319" t="s">
        <v>656</v>
      </c>
      <c r="C471" s="319" t="s">
        <v>133</v>
      </c>
      <c r="D471" s="319" t="s">
        <v>1173</v>
      </c>
      <c r="E471" s="320">
        <v>5336382</v>
      </c>
      <c r="F471" s="320">
        <v>5336382</v>
      </c>
    </row>
    <row r="472" spans="1:6" ht="38.25">
      <c r="A472" s="318" t="s">
        <v>238</v>
      </c>
      <c r="B472" s="319" t="s">
        <v>656</v>
      </c>
      <c r="C472" s="319" t="s">
        <v>133</v>
      </c>
      <c r="D472" s="319" t="s">
        <v>1137</v>
      </c>
      <c r="E472" s="320">
        <v>5336382</v>
      </c>
      <c r="F472" s="320">
        <v>5336382</v>
      </c>
    </row>
    <row r="473" spans="1:6" ht="51">
      <c r="A473" s="318" t="s">
        <v>1705</v>
      </c>
      <c r="B473" s="319" t="s">
        <v>656</v>
      </c>
      <c r="C473" s="319" t="s">
        <v>133</v>
      </c>
      <c r="D473" s="319" t="s">
        <v>345</v>
      </c>
      <c r="E473" s="320">
        <v>5336382</v>
      </c>
      <c r="F473" s="320">
        <v>5336382</v>
      </c>
    </row>
    <row r="474" spans="1:6" ht="38.25">
      <c r="A474" s="318" t="s">
        <v>1319</v>
      </c>
      <c r="B474" s="319" t="s">
        <v>656</v>
      </c>
      <c r="C474" s="319" t="s">
        <v>1320</v>
      </c>
      <c r="D474" s="319" t="s">
        <v>1173</v>
      </c>
      <c r="E474" s="320">
        <v>10000</v>
      </c>
      <c r="F474" s="320">
        <v>10000</v>
      </c>
    </row>
    <row r="475" spans="1:6" ht="38.25">
      <c r="A475" s="318" t="s">
        <v>1196</v>
      </c>
      <c r="B475" s="319" t="s">
        <v>656</v>
      </c>
      <c r="C475" s="319" t="s">
        <v>1197</v>
      </c>
      <c r="D475" s="319" t="s">
        <v>1173</v>
      </c>
      <c r="E475" s="320">
        <v>10000</v>
      </c>
      <c r="F475" s="320">
        <v>10000</v>
      </c>
    </row>
    <row r="476" spans="1:6" ht="38.25">
      <c r="A476" s="318" t="s">
        <v>238</v>
      </c>
      <c r="B476" s="319" t="s">
        <v>656</v>
      </c>
      <c r="C476" s="319" t="s">
        <v>1197</v>
      </c>
      <c r="D476" s="319" t="s">
        <v>1137</v>
      </c>
      <c r="E476" s="320">
        <v>10000</v>
      </c>
      <c r="F476" s="320">
        <v>10000</v>
      </c>
    </row>
    <row r="477" spans="1:6" ht="51">
      <c r="A477" s="318" t="s">
        <v>1705</v>
      </c>
      <c r="B477" s="319" t="s">
        <v>656</v>
      </c>
      <c r="C477" s="319" t="s">
        <v>1197</v>
      </c>
      <c r="D477" s="319" t="s">
        <v>345</v>
      </c>
      <c r="E477" s="320">
        <v>10000</v>
      </c>
      <c r="F477" s="320">
        <v>10000</v>
      </c>
    </row>
    <row r="478" spans="1:6" ht="191.25">
      <c r="A478" s="318" t="s">
        <v>1702</v>
      </c>
      <c r="B478" s="319" t="s">
        <v>1703</v>
      </c>
      <c r="C478" s="319" t="s">
        <v>1173</v>
      </c>
      <c r="D478" s="319" t="s">
        <v>1173</v>
      </c>
      <c r="E478" s="320">
        <v>30000</v>
      </c>
      <c r="F478" s="320">
        <v>30000</v>
      </c>
    </row>
    <row r="479" spans="1:6" ht="38.25">
      <c r="A479" s="318" t="s">
        <v>1319</v>
      </c>
      <c r="B479" s="319" t="s">
        <v>1703</v>
      </c>
      <c r="C479" s="319" t="s">
        <v>1320</v>
      </c>
      <c r="D479" s="319" t="s">
        <v>1173</v>
      </c>
      <c r="E479" s="320">
        <v>30000</v>
      </c>
      <c r="F479" s="320">
        <v>30000</v>
      </c>
    </row>
    <row r="480" spans="1:6" ht="38.25">
      <c r="A480" s="318" t="s">
        <v>1196</v>
      </c>
      <c r="B480" s="319" t="s">
        <v>1703</v>
      </c>
      <c r="C480" s="319" t="s">
        <v>1197</v>
      </c>
      <c r="D480" s="319" t="s">
        <v>1173</v>
      </c>
      <c r="E480" s="320">
        <v>30000</v>
      </c>
      <c r="F480" s="320">
        <v>30000</v>
      </c>
    </row>
    <row r="481" spans="1:6" ht="38.25">
      <c r="A481" s="318" t="s">
        <v>238</v>
      </c>
      <c r="B481" s="319" t="s">
        <v>1703</v>
      </c>
      <c r="C481" s="319" t="s">
        <v>1197</v>
      </c>
      <c r="D481" s="319" t="s">
        <v>1137</v>
      </c>
      <c r="E481" s="320">
        <v>30000</v>
      </c>
      <c r="F481" s="320">
        <v>30000</v>
      </c>
    </row>
    <row r="482" spans="1:6" ht="51">
      <c r="A482" s="318" t="s">
        <v>1705</v>
      </c>
      <c r="B482" s="319" t="s">
        <v>1703</v>
      </c>
      <c r="C482" s="319" t="s">
        <v>1197</v>
      </c>
      <c r="D482" s="319" t="s">
        <v>345</v>
      </c>
      <c r="E482" s="320">
        <v>30000</v>
      </c>
      <c r="F482" s="320">
        <v>30000</v>
      </c>
    </row>
    <row r="483" spans="1:6" ht="153">
      <c r="A483" s="318" t="s">
        <v>351</v>
      </c>
      <c r="B483" s="319" t="s">
        <v>1704</v>
      </c>
      <c r="C483" s="319" t="s">
        <v>1173</v>
      </c>
      <c r="D483" s="319" t="s">
        <v>1173</v>
      </c>
      <c r="E483" s="320">
        <v>1722000</v>
      </c>
      <c r="F483" s="320">
        <v>1722000</v>
      </c>
    </row>
    <row r="484" spans="1:6" ht="38.25">
      <c r="A484" s="318" t="s">
        <v>1319</v>
      </c>
      <c r="B484" s="319" t="s">
        <v>1704</v>
      </c>
      <c r="C484" s="319" t="s">
        <v>1320</v>
      </c>
      <c r="D484" s="319" t="s">
        <v>1173</v>
      </c>
      <c r="E484" s="320">
        <v>1722000</v>
      </c>
      <c r="F484" s="320">
        <v>1722000</v>
      </c>
    </row>
    <row r="485" spans="1:6" ht="38.25">
      <c r="A485" s="318" t="s">
        <v>1196</v>
      </c>
      <c r="B485" s="319" t="s">
        <v>1704</v>
      </c>
      <c r="C485" s="319" t="s">
        <v>1197</v>
      </c>
      <c r="D485" s="319" t="s">
        <v>1173</v>
      </c>
      <c r="E485" s="320">
        <v>1722000</v>
      </c>
      <c r="F485" s="320">
        <v>1722000</v>
      </c>
    </row>
    <row r="486" spans="1:6" ht="38.25">
      <c r="A486" s="318" t="s">
        <v>238</v>
      </c>
      <c r="B486" s="319" t="s">
        <v>1704</v>
      </c>
      <c r="C486" s="319" t="s">
        <v>1197</v>
      </c>
      <c r="D486" s="319" t="s">
        <v>1137</v>
      </c>
      <c r="E486" s="320">
        <v>1722000</v>
      </c>
      <c r="F486" s="320">
        <v>1722000</v>
      </c>
    </row>
    <row r="487" spans="1:6" ht="51">
      <c r="A487" s="318" t="s">
        <v>1705</v>
      </c>
      <c r="B487" s="319" t="s">
        <v>1704</v>
      </c>
      <c r="C487" s="319" t="s">
        <v>1197</v>
      </c>
      <c r="D487" s="319" t="s">
        <v>345</v>
      </c>
      <c r="E487" s="320">
        <v>22000</v>
      </c>
      <c r="F487" s="320">
        <v>22000</v>
      </c>
    </row>
    <row r="488" spans="1:6" ht="38.25">
      <c r="A488" s="318" t="s">
        <v>1840</v>
      </c>
      <c r="B488" s="319" t="s">
        <v>1704</v>
      </c>
      <c r="C488" s="319" t="s">
        <v>1197</v>
      </c>
      <c r="D488" s="319" t="s">
        <v>1841</v>
      </c>
      <c r="E488" s="320">
        <v>1700000</v>
      </c>
      <c r="F488" s="320">
        <v>1700000</v>
      </c>
    </row>
    <row r="489" spans="1:6" ht="191.25">
      <c r="A489" s="318" t="s">
        <v>1943</v>
      </c>
      <c r="B489" s="319" t="s">
        <v>1944</v>
      </c>
      <c r="C489" s="319" t="s">
        <v>1173</v>
      </c>
      <c r="D489" s="319" t="s">
        <v>1173</v>
      </c>
      <c r="E489" s="320">
        <v>150000</v>
      </c>
      <c r="F489" s="320">
        <v>150000</v>
      </c>
    </row>
    <row r="490" spans="1:6" ht="38.25">
      <c r="A490" s="318" t="s">
        <v>1319</v>
      </c>
      <c r="B490" s="319" t="s">
        <v>1944</v>
      </c>
      <c r="C490" s="319" t="s">
        <v>1320</v>
      </c>
      <c r="D490" s="319" t="s">
        <v>1173</v>
      </c>
      <c r="E490" s="320">
        <v>150000</v>
      </c>
      <c r="F490" s="320">
        <v>150000</v>
      </c>
    </row>
    <row r="491" spans="1:6" ht="38.25">
      <c r="A491" s="318" t="s">
        <v>1196</v>
      </c>
      <c r="B491" s="319" t="s">
        <v>1944</v>
      </c>
      <c r="C491" s="319" t="s">
        <v>1197</v>
      </c>
      <c r="D491" s="319" t="s">
        <v>1173</v>
      </c>
      <c r="E491" s="320">
        <v>150000</v>
      </c>
      <c r="F491" s="320">
        <v>150000</v>
      </c>
    </row>
    <row r="492" spans="1:6" ht="38.25">
      <c r="A492" s="318" t="s">
        <v>238</v>
      </c>
      <c r="B492" s="319" t="s">
        <v>1944</v>
      </c>
      <c r="C492" s="319" t="s">
        <v>1197</v>
      </c>
      <c r="D492" s="319" t="s">
        <v>1137</v>
      </c>
      <c r="E492" s="320">
        <v>150000</v>
      </c>
      <c r="F492" s="320">
        <v>150000</v>
      </c>
    </row>
    <row r="493" spans="1:6" ht="51">
      <c r="A493" s="318" t="s">
        <v>1705</v>
      </c>
      <c r="B493" s="319" t="s">
        <v>1944</v>
      </c>
      <c r="C493" s="319" t="s">
        <v>1197</v>
      </c>
      <c r="D493" s="319" t="s">
        <v>345</v>
      </c>
      <c r="E493" s="320">
        <v>150000</v>
      </c>
      <c r="F493" s="320">
        <v>150000</v>
      </c>
    </row>
    <row r="494" spans="1:6" ht="204">
      <c r="A494" s="318" t="s">
        <v>1512</v>
      </c>
      <c r="B494" s="319" t="s">
        <v>1341</v>
      </c>
      <c r="C494" s="319" t="s">
        <v>1173</v>
      </c>
      <c r="D494" s="319" t="s">
        <v>1173</v>
      </c>
      <c r="E494" s="320">
        <v>140140.14000000001</v>
      </c>
      <c r="F494" s="320">
        <v>140140.14000000001</v>
      </c>
    </row>
    <row r="495" spans="1:6" ht="38.25">
      <c r="A495" s="318" t="s">
        <v>1319</v>
      </c>
      <c r="B495" s="319" t="s">
        <v>1341</v>
      </c>
      <c r="C495" s="319" t="s">
        <v>1320</v>
      </c>
      <c r="D495" s="319" t="s">
        <v>1173</v>
      </c>
      <c r="E495" s="320">
        <v>140140.14000000001</v>
      </c>
      <c r="F495" s="320">
        <v>140140.14000000001</v>
      </c>
    </row>
    <row r="496" spans="1:6" ht="38.25">
      <c r="A496" s="318" t="s">
        <v>1196</v>
      </c>
      <c r="B496" s="319" t="s">
        <v>1341</v>
      </c>
      <c r="C496" s="319" t="s">
        <v>1197</v>
      </c>
      <c r="D496" s="319" t="s">
        <v>1173</v>
      </c>
      <c r="E496" s="320">
        <v>140140.14000000001</v>
      </c>
      <c r="F496" s="320">
        <v>140140.14000000001</v>
      </c>
    </row>
    <row r="497" spans="1:6" ht="38.25">
      <c r="A497" s="318" t="s">
        <v>238</v>
      </c>
      <c r="B497" s="319" t="s">
        <v>1341</v>
      </c>
      <c r="C497" s="319" t="s">
        <v>1197</v>
      </c>
      <c r="D497" s="319" t="s">
        <v>1137</v>
      </c>
      <c r="E497" s="320">
        <v>140140.14000000001</v>
      </c>
      <c r="F497" s="320">
        <v>140140.14000000001</v>
      </c>
    </row>
    <row r="498" spans="1:6" ht="51">
      <c r="A498" s="318" t="s">
        <v>1705</v>
      </c>
      <c r="B498" s="319" t="s">
        <v>1341</v>
      </c>
      <c r="C498" s="319" t="s">
        <v>1197</v>
      </c>
      <c r="D498" s="319" t="s">
        <v>345</v>
      </c>
      <c r="E498" s="320">
        <v>140140.14000000001</v>
      </c>
      <c r="F498" s="320">
        <v>140140.14000000001</v>
      </c>
    </row>
    <row r="499" spans="1:6" ht="38.25">
      <c r="A499" s="318" t="s">
        <v>459</v>
      </c>
      <c r="B499" s="319" t="s">
        <v>980</v>
      </c>
      <c r="C499" s="319" t="s">
        <v>1173</v>
      </c>
      <c r="D499" s="319" t="s">
        <v>1173</v>
      </c>
      <c r="E499" s="320">
        <v>30167103</v>
      </c>
      <c r="F499" s="320">
        <v>30167103</v>
      </c>
    </row>
    <row r="500" spans="1:6" ht="165.75">
      <c r="A500" s="318" t="s">
        <v>346</v>
      </c>
      <c r="B500" s="319" t="s">
        <v>658</v>
      </c>
      <c r="C500" s="319" t="s">
        <v>1173</v>
      </c>
      <c r="D500" s="319" t="s">
        <v>1173</v>
      </c>
      <c r="E500" s="320">
        <v>21102512</v>
      </c>
      <c r="F500" s="320">
        <v>21102512</v>
      </c>
    </row>
    <row r="501" spans="1:6" ht="76.5">
      <c r="A501" s="318" t="s">
        <v>1318</v>
      </c>
      <c r="B501" s="319" t="s">
        <v>658</v>
      </c>
      <c r="C501" s="319" t="s">
        <v>273</v>
      </c>
      <c r="D501" s="319" t="s">
        <v>1173</v>
      </c>
      <c r="E501" s="320">
        <v>19164242</v>
      </c>
      <c r="F501" s="320">
        <v>19164242</v>
      </c>
    </row>
    <row r="502" spans="1:6" ht="25.5">
      <c r="A502" s="318" t="s">
        <v>1190</v>
      </c>
      <c r="B502" s="319" t="s">
        <v>658</v>
      </c>
      <c r="C502" s="319" t="s">
        <v>133</v>
      </c>
      <c r="D502" s="319" t="s">
        <v>1173</v>
      </c>
      <c r="E502" s="320">
        <v>19164242</v>
      </c>
      <c r="F502" s="320">
        <v>19164242</v>
      </c>
    </row>
    <row r="503" spans="1:6" ht="38.25">
      <c r="A503" s="318" t="s">
        <v>238</v>
      </c>
      <c r="B503" s="319" t="s">
        <v>658</v>
      </c>
      <c r="C503" s="319" t="s">
        <v>133</v>
      </c>
      <c r="D503" s="319" t="s">
        <v>1137</v>
      </c>
      <c r="E503" s="320">
        <v>19164242</v>
      </c>
      <c r="F503" s="320">
        <v>19164242</v>
      </c>
    </row>
    <row r="504" spans="1:6" ht="51">
      <c r="A504" s="318" t="s">
        <v>1705</v>
      </c>
      <c r="B504" s="319" t="s">
        <v>658</v>
      </c>
      <c r="C504" s="319" t="s">
        <v>133</v>
      </c>
      <c r="D504" s="319" t="s">
        <v>345</v>
      </c>
      <c r="E504" s="320">
        <v>19164242</v>
      </c>
      <c r="F504" s="320">
        <v>19164242</v>
      </c>
    </row>
    <row r="505" spans="1:6" ht="38.25">
      <c r="A505" s="318" t="s">
        <v>1319</v>
      </c>
      <c r="B505" s="319" t="s">
        <v>658</v>
      </c>
      <c r="C505" s="319" t="s">
        <v>1320</v>
      </c>
      <c r="D505" s="319" t="s">
        <v>1173</v>
      </c>
      <c r="E505" s="320">
        <v>1938270</v>
      </c>
      <c r="F505" s="320">
        <v>1938270</v>
      </c>
    </row>
    <row r="506" spans="1:6" ht="38.25">
      <c r="A506" s="318" t="s">
        <v>1196</v>
      </c>
      <c r="B506" s="319" t="s">
        <v>658</v>
      </c>
      <c r="C506" s="319" t="s">
        <v>1197</v>
      </c>
      <c r="D506" s="319" t="s">
        <v>1173</v>
      </c>
      <c r="E506" s="320">
        <v>1938270</v>
      </c>
      <c r="F506" s="320">
        <v>1938270</v>
      </c>
    </row>
    <row r="507" spans="1:6" ht="38.25">
      <c r="A507" s="318" t="s">
        <v>238</v>
      </c>
      <c r="B507" s="319" t="s">
        <v>658</v>
      </c>
      <c r="C507" s="319" t="s">
        <v>1197</v>
      </c>
      <c r="D507" s="319" t="s">
        <v>1137</v>
      </c>
      <c r="E507" s="320">
        <v>1938270</v>
      </c>
      <c r="F507" s="320">
        <v>1938270</v>
      </c>
    </row>
    <row r="508" spans="1:6" ht="51">
      <c r="A508" s="318" t="s">
        <v>1705</v>
      </c>
      <c r="B508" s="319" t="s">
        <v>658</v>
      </c>
      <c r="C508" s="319" t="s">
        <v>1197</v>
      </c>
      <c r="D508" s="319" t="s">
        <v>345</v>
      </c>
      <c r="E508" s="320">
        <v>1938270</v>
      </c>
      <c r="F508" s="320">
        <v>1938270</v>
      </c>
    </row>
    <row r="509" spans="1:6" ht="165.75">
      <c r="A509" s="318" t="s">
        <v>1363</v>
      </c>
      <c r="B509" s="319" t="s">
        <v>1364</v>
      </c>
      <c r="C509" s="319" t="s">
        <v>1173</v>
      </c>
      <c r="D509" s="319" t="s">
        <v>1173</v>
      </c>
      <c r="E509" s="320">
        <v>1413106</v>
      </c>
      <c r="F509" s="320">
        <v>1413106</v>
      </c>
    </row>
    <row r="510" spans="1:6" ht="76.5">
      <c r="A510" s="318" t="s">
        <v>1318</v>
      </c>
      <c r="B510" s="319" t="s">
        <v>1364</v>
      </c>
      <c r="C510" s="319" t="s">
        <v>273</v>
      </c>
      <c r="D510" s="319" t="s">
        <v>1173</v>
      </c>
      <c r="E510" s="320">
        <v>1413106</v>
      </c>
      <c r="F510" s="320">
        <v>1413106</v>
      </c>
    </row>
    <row r="511" spans="1:6" ht="25.5">
      <c r="A511" s="318" t="s">
        <v>1190</v>
      </c>
      <c r="B511" s="319" t="s">
        <v>1364</v>
      </c>
      <c r="C511" s="319" t="s">
        <v>133</v>
      </c>
      <c r="D511" s="319" t="s">
        <v>1173</v>
      </c>
      <c r="E511" s="320">
        <v>1413106</v>
      </c>
      <c r="F511" s="320">
        <v>1413106</v>
      </c>
    </row>
    <row r="512" spans="1:6" ht="38.25">
      <c r="A512" s="318" t="s">
        <v>238</v>
      </c>
      <c r="B512" s="319" t="s">
        <v>1364</v>
      </c>
      <c r="C512" s="319" t="s">
        <v>133</v>
      </c>
      <c r="D512" s="319" t="s">
        <v>1137</v>
      </c>
      <c r="E512" s="320">
        <v>1413106</v>
      </c>
      <c r="F512" s="320">
        <v>1413106</v>
      </c>
    </row>
    <row r="513" spans="1:6" ht="51">
      <c r="A513" s="318" t="s">
        <v>1705</v>
      </c>
      <c r="B513" s="319" t="s">
        <v>1364</v>
      </c>
      <c r="C513" s="319" t="s">
        <v>133</v>
      </c>
      <c r="D513" s="319" t="s">
        <v>345</v>
      </c>
      <c r="E513" s="320">
        <v>1413106</v>
      </c>
      <c r="F513" s="320">
        <v>1413106</v>
      </c>
    </row>
    <row r="514" spans="1:6" ht="153">
      <c r="A514" s="318" t="s">
        <v>1365</v>
      </c>
      <c r="B514" s="319" t="s">
        <v>1366</v>
      </c>
      <c r="C514" s="319" t="s">
        <v>1173</v>
      </c>
      <c r="D514" s="319" t="s">
        <v>1173</v>
      </c>
      <c r="E514" s="320">
        <v>163657</v>
      </c>
      <c r="F514" s="320">
        <v>163657</v>
      </c>
    </row>
    <row r="515" spans="1:6" ht="76.5">
      <c r="A515" s="318" t="s">
        <v>1318</v>
      </c>
      <c r="B515" s="319" t="s">
        <v>1366</v>
      </c>
      <c r="C515" s="319" t="s">
        <v>273</v>
      </c>
      <c r="D515" s="319" t="s">
        <v>1173</v>
      </c>
      <c r="E515" s="320">
        <v>163657</v>
      </c>
      <c r="F515" s="320">
        <v>163657</v>
      </c>
    </row>
    <row r="516" spans="1:6" ht="25.5">
      <c r="A516" s="318" t="s">
        <v>1190</v>
      </c>
      <c r="B516" s="319" t="s">
        <v>1366</v>
      </c>
      <c r="C516" s="319" t="s">
        <v>133</v>
      </c>
      <c r="D516" s="319" t="s">
        <v>1173</v>
      </c>
      <c r="E516" s="320">
        <v>163657</v>
      </c>
      <c r="F516" s="320">
        <v>163657</v>
      </c>
    </row>
    <row r="517" spans="1:6" ht="38.25">
      <c r="A517" s="318" t="s">
        <v>238</v>
      </c>
      <c r="B517" s="319" t="s">
        <v>1366</v>
      </c>
      <c r="C517" s="319" t="s">
        <v>133</v>
      </c>
      <c r="D517" s="319" t="s">
        <v>1137</v>
      </c>
      <c r="E517" s="320">
        <v>163657</v>
      </c>
      <c r="F517" s="320">
        <v>163657</v>
      </c>
    </row>
    <row r="518" spans="1:6" ht="51">
      <c r="A518" s="318" t="s">
        <v>1705</v>
      </c>
      <c r="B518" s="319" t="s">
        <v>1366</v>
      </c>
      <c r="C518" s="319" t="s">
        <v>133</v>
      </c>
      <c r="D518" s="319" t="s">
        <v>345</v>
      </c>
      <c r="E518" s="320">
        <v>163657</v>
      </c>
      <c r="F518" s="320">
        <v>163657</v>
      </c>
    </row>
    <row r="519" spans="1:6" ht="178.5">
      <c r="A519" s="318" t="s">
        <v>1748</v>
      </c>
      <c r="B519" s="319" t="s">
        <v>660</v>
      </c>
      <c r="C519" s="319" t="s">
        <v>1173</v>
      </c>
      <c r="D519" s="319" t="s">
        <v>1173</v>
      </c>
      <c r="E519" s="320">
        <v>2136650</v>
      </c>
      <c r="F519" s="320">
        <v>2136650</v>
      </c>
    </row>
    <row r="520" spans="1:6" ht="38.25">
      <c r="A520" s="318" t="s">
        <v>1319</v>
      </c>
      <c r="B520" s="319" t="s">
        <v>660</v>
      </c>
      <c r="C520" s="319" t="s">
        <v>1320</v>
      </c>
      <c r="D520" s="319" t="s">
        <v>1173</v>
      </c>
      <c r="E520" s="320">
        <v>2136650</v>
      </c>
      <c r="F520" s="320">
        <v>2136650</v>
      </c>
    </row>
    <row r="521" spans="1:6" ht="38.25">
      <c r="A521" s="318" t="s">
        <v>1196</v>
      </c>
      <c r="B521" s="319" t="s">
        <v>660</v>
      </c>
      <c r="C521" s="319" t="s">
        <v>1197</v>
      </c>
      <c r="D521" s="319" t="s">
        <v>1173</v>
      </c>
      <c r="E521" s="320">
        <v>2136650</v>
      </c>
      <c r="F521" s="320">
        <v>2136650</v>
      </c>
    </row>
    <row r="522" spans="1:6" ht="38.25">
      <c r="A522" s="318" t="s">
        <v>238</v>
      </c>
      <c r="B522" s="319" t="s">
        <v>660</v>
      </c>
      <c r="C522" s="319" t="s">
        <v>1197</v>
      </c>
      <c r="D522" s="319" t="s">
        <v>1137</v>
      </c>
      <c r="E522" s="320">
        <v>2136650</v>
      </c>
      <c r="F522" s="320">
        <v>2136650</v>
      </c>
    </row>
    <row r="523" spans="1:6" ht="51">
      <c r="A523" s="318" t="s">
        <v>1705</v>
      </c>
      <c r="B523" s="319" t="s">
        <v>660</v>
      </c>
      <c r="C523" s="319" t="s">
        <v>1197</v>
      </c>
      <c r="D523" s="319" t="s">
        <v>345</v>
      </c>
      <c r="E523" s="320">
        <v>2136650</v>
      </c>
      <c r="F523" s="320">
        <v>2136650</v>
      </c>
    </row>
    <row r="524" spans="1:6" ht="191.25">
      <c r="A524" s="318" t="s">
        <v>1828</v>
      </c>
      <c r="B524" s="319" t="s">
        <v>1829</v>
      </c>
      <c r="C524" s="319" t="s">
        <v>1173</v>
      </c>
      <c r="D524" s="319" t="s">
        <v>1173</v>
      </c>
      <c r="E524" s="320">
        <v>40000</v>
      </c>
      <c r="F524" s="320">
        <v>40000</v>
      </c>
    </row>
    <row r="525" spans="1:6" ht="38.25">
      <c r="A525" s="318" t="s">
        <v>1319</v>
      </c>
      <c r="B525" s="319" t="s">
        <v>1829</v>
      </c>
      <c r="C525" s="319" t="s">
        <v>1320</v>
      </c>
      <c r="D525" s="319" t="s">
        <v>1173</v>
      </c>
      <c r="E525" s="320">
        <v>40000</v>
      </c>
      <c r="F525" s="320">
        <v>40000</v>
      </c>
    </row>
    <row r="526" spans="1:6" ht="38.25">
      <c r="A526" s="318" t="s">
        <v>1196</v>
      </c>
      <c r="B526" s="319" t="s">
        <v>1829</v>
      </c>
      <c r="C526" s="319" t="s">
        <v>1197</v>
      </c>
      <c r="D526" s="319" t="s">
        <v>1173</v>
      </c>
      <c r="E526" s="320">
        <v>40000</v>
      </c>
      <c r="F526" s="320">
        <v>40000</v>
      </c>
    </row>
    <row r="527" spans="1:6" ht="38.25">
      <c r="A527" s="318" t="s">
        <v>238</v>
      </c>
      <c r="B527" s="319" t="s">
        <v>1829</v>
      </c>
      <c r="C527" s="319" t="s">
        <v>1197</v>
      </c>
      <c r="D527" s="319" t="s">
        <v>1137</v>
      </c>
      <c r="E527" s="320">
        <v>40000</v>
      </c>
      <c r="F527" s="320">
        <v>40000</v>
      </c>
    </row>
    <row r="528" spans="1:6" ht="51">
      <c r="A528" s="318" t="s">
        <v>1705</v>
      </c>
      <c r="B528" s="319" t="s">
        <v>1829</v>
      </c>
      <c r="C528" s="319" t="s">
        <v>1197</v>
      </c>
      <c r="D528" s="319" t="s">
        <v>345</v>
      </c>
      <c r="E528" s="320">
        <v>40000</v>
      </c>
      <c r="F528" s="320">
        <v>40000</v>
      </c>
    </row>
    <row r="529" spans="1:6" ht="114.75">
      <c r="A529" s="318" t="s">
        <v>1830</v>
      </c>
      <c r="B529" s="319" t="s">
        <v>1831</v>
      </c>
      <c r="C529" s="319" t="s">
        <v>1173</v>
      </c>
      <c r="D529" s="319" t="s">
        <v>1173</v>
      </c>
      <c r="E529" s="320">
        <v>42000</v>
      </c>
      <c r="F529" s="320">
        <v>42000</v>
      </c>
    </row>
    <row r="530" spans="1:6" ht="38.25">
      <c r="A530" s="318" t="s">
        <v>1319</v>
      </c>
      <c r="B530" s="319" t="s">
        <v>1831</v>
      </c>
      <c r="C530" s="319" t="s">
        <v>1320</v>
      </c>
      <c r="D530" s="319" t="s">
        <v>1173</v>
      </c>
      <c r="E530" s="320">
        <v>42000</v>
      </c>
      <c r="F530" s="320">
        <v>42000</v>
      </c>
    </row>
    <row r="531" spans="1:6" ht="38.25">
      <c r="A531" s="318" t="s">
        <v>1196</v>
      </c>
      <c r="B531" s="319" t="s">
        <v>1831</v>
      </c>
      <c r="C531" s="319" t="s">
        <v>1197</v>
      </c>
      <c r="D531" s="319" t="s">
        <v>1173</v>
      </c>
      <c r="E531" s="320">
        <v>42000</v>
      </c>
      <c r="F531" s="320">
        <v>42000</v>
      </c>
    </row>
    <row r="532" spans="1:6" ht="38.25">
      <c r="A532" s="318" t="s">
        <v>238</v>
      </c>
      <c r="B532" s="319" t="s">
        <v>1831</v>
      </c>
      <c r="C532" s="319" t="s">
        <v>1197</v>
      </c>
      <c r="D532" s="319" t="s">
        <v>1137</v>
      </c>
      <c r="E532" s="320">
        <v>42000</v>
      </c>
      <c r="F532" s="320">
        <v>42000</v>
      </c>
    </row>
    <row r="533" spans="1:6" ht="51">
      <c r="A533" s="318" t="s">
        <v>1705</v>
      </c>
      <c r="B533" s="319" t="s">
        <v>1831</v>
      </c>
      <c r="C533" s="319" t="s">
        <v>1197</v>
      </c>
      <c r="D533" s="319" t="s">
        <v>345</v>
      </c>
      <c r="E533" s="320">
        <v>42000</v>
      </c>
      <c r="F533" s="320">
        <v>42000</v>
      </c>
    </row>
    <row r="534" spans="1:6" ht="165.75">
      <c r="A534" s="318" t="s">
        <v>1367</v>
      </c>
      <c r="B534" s="319" t="s">
        <v>1368</v>
      </c>
      <c r="C534" s="319" t="s">
        <v>1173</v>
      </c>
      <c r="D534" s="319" t="s">
        <v>1173</v>
      </c>
      <c r="E534" s="320">
        <v>879835</v>
      </c>
      <c r="F534" s="320">
        <v>879835</v>
      </c>
    </row>
    <row r="535" spans="1:6" ht="38.25">
      <c r="A535" s="318" t="s">
        <v>1319</v>
      </c>
      <c r="B535" s="319" t="s">
        <v>1368</v>
      </c>
      <c r="C535" s="319" t="s">
        <v>1320</v>
      </c>
      <c r="D535" s="319" t="s">
        <v>1173</v>
      </c>
      <c r="E535" s="320">
        <v>879835</v>
      </c>
      <c r="F535" s="320">
        <v>879835</v>
      </c>
    </row>
    <row r="536" spans="1:6" ht="38.25">
      <c r="A536" s="318" t="s">
        <v>1196</v>
      </c>
      <c r="B536" s="319" t="s">
        <v>1368</v>
      </c>
      <c r="C536" s="319" t="s">
        <v>1197</v>
      </c>
      <c r="D536" s="319" t="s">
        <v>1173</v>
      </c>
      <c r="E536" s="320">
        <v>879835</v>
      </c>
      <c r="F536" s="320">
        <v>879835</v>
      </c>
    </row>
    <row r="537" spans="1:6" ht="38.25">
      <c r="A537" s="318" t="s">
        <v>238</v>
      </c>
      <c r="B537" s="319" t="s">
        <v>1368</v>
      </c>
      <c r="C537" s="319" t="s">
        <v>1197</v>
      </c>
      <c r="D537" s="319" t="s">
        <v>1137</v>
      </c>
      <c r="E537" s="320">
        <v>879835</v>
      </c>
      <c r="F537" s="320">
        <v>879835</v>
      </c>
    </row>
    <row r="538" spans="1:6" ht="51">
      <c r="A538" s="318" t="s">
        <v>1705</v>
      </c>
      <c r="B538" s="319" t="s">
        <v>1368</v>
      </c>
      <c r="C538" s="319" t="s">
        <v>1197</v>
      </c>
      <c r="D538" s="319" t="s">
        <v>345</v>
      </c>
      <c r="E538" s="320">
        <v>879835</v>
      </c>
      <c r="F538" s="320">
        <v>879835</v>
      </c>
    </row>
    <row r="539" spans="1:6" ht="127.5">
      <c r="A539" s="318" t="s">
        <v>349</v>
      </c>
      <c r="B539" s="319" t="s">
        <v>661</v>
      </c>
      <c r="C539" s="319" t="s">
        <v>1173</v>
      </c>
      <c r="D539" s="319" t="s">
        <v>1173</v>
      </c>
      <c r="E539" s="320">
        <v>150000</v>
      </c>
      <c r="F539" s="320">
        <v>150000</v>
      </c>
    </row>
    <row r="540" spans="1:6" ht="38.25">
      <c r="A540" s="318" t="s">
        <v>1319</v>
      </c>
      <c r="B540" s="319" t="s">
        <v>661</v>
      </c>
      <c r="C540" s="319" t="s">
        <v>1320</v>
      </c>
      <c r="D540" s="319" t="s">
        <v>1173</v>
      </c>
      <c r="E540" s="320">
        <v>150000</v>
      </c>
      <c r="F540" s="320">
        <v>150000</v>
      </c>
    </row>
    <row r="541" spans="1:6" ht="38.25">
      <c r="A541" s="318" t="s">
        <v>1196</v>
      </c>
      <c r="B541" s="319" t="s">
        <v>661</v>
      </c>
      <c r="C541" s="319" t="s">
        <v>1197</v>
      </c>
      <c r="D541" s="319" t="s">
        <v>1173</v>
      </c>
      <c r="E541" s="320">
        <v>150000</v>
      </c>
      <c r="F541" s="320">
        <v>150000</v>
      </c>
    </row>
    <row r="542" spans="1:6" ht="38.25">
      <c r="A542" s="318" t="s">
        <v>238</v>
      </c>
      <c r="B542" s="319" t="s">
        <v>661</v>
      </c>
      <c r="C542" s="319" t="s">
        <v>1197</v>
      </c>
      <c r="D542" s="319" t="s">
        <v>1137</v>
      </c>
      <c r="E542" s="320">
        <v>150000</v>
      </c>
      <c r="F542" s="320">
        <v>150000</v>
      </c>
    </row>
    <row r="543" spans="1:6" ht="51">
      <c r="A543" s="318" t="s">
        <v>1705</v>
      </c>
      <c r="B543" s="319" t="s">
        <v>661</v>
      </c>
      <c r="C543" s="319" t="s">
        <v>1197</v>
      </c>
      <c r="D543" s="319" t="s">
        <v>345</v>
      </c>
      <c r="E543" s="320">
        <v>150000</v>
      </c>
      <c r="F543" s="320">
        <v>150000</v>
      </c>
    </row>
    <row r="544" spans="1:6" ht="127.5">
      <c r="A544" s="318" t="s">
        <v>350</v>
      </c>
      <c r="B544" s="319" t="s">
        <v>662</v>
      </c>
      <c r="C544" s="319" t="s">
        <v>1173</v>
      </c>
      <c r="D544" s="319" t="s">
        <v>1173</v>
      </c>
      <c r="E544" s="320">
        <v>30500</v>
      </c>
      <c r="F544" s="320">
        <v>30500</v>
      </c>
    </row>
    <row r="545" spans="1:6" ht="38.25">
      <c r="A545" s="318" t="s">
        <v>1319</v>
      </c>
      <c r="B545" s="319" t="s">
        <v>662</v>
      </c>
      <c r="C545" s="319" t="s">
        <v>1320</v>
      </c>
      <c r="D545" s="319" t="s">
        <v>1173</v>
      </c>
      <c r="E545" s="320">
        <v>30500</v>
      </c>
      <c r="F545" s="320">
        <v>30500</v>
      </c>
    </row>
    <row r="546" spans="1:6" ht="38.25">
      <c r="A546" s="318" t="s">
        <v>1196</v>
      </c>
      <c r="B546" s="319" t="s">
        <v>662</v>
      </c>
      <c r="C546" s="319" t="s">
        <v>1197</v>
      </c>
      <c r="D546" s="319" t="s">
        <v>1173</v>
      </c>
      <c r="E546" s="320">
        <v>30500</v>
      </c>
      <c r="F546" s="320">
        <v>30500</v>
      </c>
    </row>
    <row r="547" spans="1:6" ht="38.25">
      <c r="A547" s="318" t="s">
        <v>238</v>
      </c>
      <c r="B547" s="319" t="s">
        <v>662</v>
      </c>
      <c r="C547" s="319" t="s">
        <v>1197</v>
      </c>
      <c r="D547" s="319" t="s">
        <v>1137</v>
      </c>
      <c r="E547" s="320">
        <v>30500</v>
      </c>
      <c r="F547" s="320">
        <v>30500</v>
      </c>
    </row>
    <row r="548" spans="1:6" ht="51">
      <c r="A548" s="318" t="s">
        <v>1705</v>
      </c>
      <c r="B548" s="319" t="s">
        <v>662</v>
      </c>
      <c r="C548" s="319" t="s">
        <v>1197</v>
      </c>
      <c r="D548" s="319" t="s">
        <v>345</v>
      </c>
      <c r="E548" s="320">
        <v>30500</v>
      </c>
      <c r="F548" s="320">
        <v>30500</v>
      </c>
    </row>
    <row r="549" spans="1:6" ht="114.75">
      <c r="A549" s="318" t="s">
        <v>334</v>
      </c>
      <c r="B549" s="319" t="s">
        <v>645</v>
      </c>
      <c r="C549" s="319" t="s">
        <v>1173</v>
      </c>
      <c r="D549" s="319" t="s">
        <v>1173</v>
      </c>
      <c r="E549" s="320">
        <v>73395</v>
      </c>
      <c r="F549" s="320">
        <v>73395</v>
      </c>
    </row>
    <row r="550" spans="1:6" ht="38.25">
      <c r="A550" s="318" t="s">
        <v>1319</v>
      </c>
      <c r="B550" s="319" t="s">
        <v>645</v>
      </c>
      <c r="C550" s="319" t="s">
        <v>1320</v>
      </c>
      <c r="D550" s="319" t="s">
        <v>1173</v>
      </c>
      <c r="E550" s="320">
        <v>73395</v>
      </c>
      <c r="F550" s="320">
        <v>73395</v>
      </c>
    </row>
    <row r="551" spans="1:6" ht="38.25">
      <c r="A551" s="318" t="s">
        <v>1196</v>
      </c>
      <c r="B551" s="319" t="s">
        <v>645</v>
      </c>
      <c r="C551" s="319" t="s">
        <v>1197</v>
      </c>
      <c r="D551" s="319" t="s">
        <v>1173</v>
      </c>
      <c r="E551" s="320">
        <v>73395</v>
      </c>
      <c r="F551" s="320">
        <v>73395</v>
      </c>
    </row>
    <row r="552" spans="1:6">
      <c r="A552" s="318" t="s">
        <v>234</v>
      </c>
      <c r="B552" s="319" t="s">
        <v>645</v>
      </c>
      <c r="C552" s="319" t="s">
        <v>1197</v>
      </c>
      <c r="D552" s="319" t="s">
        <v>1135</v>
      </c>
      <c r="E552" s="320">
        <v>73395</v>
      </c>
      <c r="F552" s="320">
        <v>73395</v>
      </c>
    </row>
    <row r="553" spans="1:6" ht="76.5">
      <c r="A553" s="318" t="s">
        <v>236</v>
      </c>
      <c r="B553" s="319" t="s">
        <v>645</v>
      </c>
      <c r="C553" s="319" t="s">
        <v>1197</v>
      </c>
      <c r="D553" s="319" t="s">
        <v>333</v>
      </c>
      <c r="E553" s="320">
        <v>73395</v>
      </c>
      <c r="F553" s="320">
        <v>73395</v>
      </c>
    </row>
    <row r="554" spans="1:6" ht="140.25">
      <c r="A554" s="318" t="s">
        <v>1945</v>
      </c>
      <c r="B554" s="319" t="s">
        <v>1946</v>
      </c>
      <c r="C554" s="319" t="s">
        <v>1173</v>
      </c>
      <c r="D554" s="319" t="s">
        <v>1173</v>
      </c>
      <c r="E554" s="320">
        <v>24000</v>
      </c>
      <c r="F554" s="320">
        <v>24000</v>
      </c>
    </row>
    <row r="555" spans="1:6" ht="38.25">
      <c r="A555" s="318" t="s">
        <v>1319</v>
      </c>
      <c r="B555" s="319" t="s">
        <v>1946</v>
      </c>
      <c r="C555" s="319" t="s">
        <v>1320</v>
      </c>
      <c r="D555" s="319" t="s">
        <v>1173</v>
      </c>
      <c r="E555" s="320">
        <v>24000</v>
      </c>
      <c r="F555" s="320">
        <v>24000</v>
      </c>
    </row>
    <row r="556" spans="1:6" ht="38.25">
      <c r="A556" s="318" t="s">
        <v>1196</v>
      </c>
      <c r="B556" s="319" t="s">
        <v>1946</v>
      </c>
      <c r="C556" s="319" t="s">
        <v>1197</v>
      </c>
      <c r="D556" s="319" t="s">
        <v>1173</v>
      </c>
      <c r="E556" s="320">
        <v>24000</v>
      </c>
      <c r="F556" s="320">
        <v>24000</v>
      </c>
    </row>
    <row r="557" spans="1:6" ht="38.25">
      <c r="A557" s="318" t="s">
        <v>238</v>
      </c>
      <c r="B557" s="319" t="s">
        <v>1946</v>
      </c>
      <c r="C557" s="319" t="s">
        <v>1197</v>
      </c>
      <c r="D557" s="319" t="s">
        <v>1137</v>
      </c>
      <c r="E557" s="320">
        <v>24000</v>
      </c>
      <c r="F557" s="320">
        <v>24000</v>
      </c>
    </row>
    <row r="558" spans="1:6" ht="51">
      <c r="A558" s="318" t="s">
        <v>1705</v>
      </c>
      <c r="B558" s="319" t="s">
        <v>1946</v>
      </c>
      <c r="C558" s="319" t="s">
        <v>1197</v>
      </c>
      <c r="D558" s="319" t="s">
        <v>345</v>
      </c>
      <c r="E558" s="320">
        <v>24000</v>
      </c>
      <c r="F558" s="320">
        <v>24000</v>
      </c>
    </row>
    <row r="559" spans="1:6" ht="140.25">
      <c r="A559" s="318" t="s">
        <v>2112</v>
      </c>
      <c r="B559" s="319" t="s">
        <v>1224</v>
      </c>
      <c r="C559" s="319" t="s">
        <v>1173</v>
      </c>
      <c r="D559" s="319" t="s">
        <v>1173</v>
      </c>
      <c r="E559" s="320">
        <v>4102500</v>
      </c>
      <c r="F559" s="320">
        <v>4102500</v>
      </c>
    </row>
    <row r="560" spans="1:6">
      <c r="A560" s="318" t="s">
        <v>1329</v>
      </c>
      <c r="B560" s="319" t="s">
        <v>1224</v>
      </c>
      <c r="C560" s="319" t="s">
        <v>1330</v>
      </c>
      <c r="D560" s="319" t="s">
        <v>1173</v>
      </c>
      <c r="E560" s="320">
        <v>4102500</v>
      </c>
      <c r="F560" s="320">
        <v>4102500</v>
      </c>
    </row>
    <row r="561" spans="1:6">
      <c r="A561" s="318" t="s">
        <v>68</v>
      </c>
      <c r="B561" s="319" t="s">
        <v>1224</v>
      </c>
      <c r="C561" s="319" t="s">
        <v>430</v>
      </c>
      <c r="D561" s="319" t="s">
        <v>1173</v>
      </c>
      <c r="E561" s="320">
        <v>4102500</v>
      </c>
      <c r="F561" s="320">
        <v>4102500</v>
      </c>
    </row>
    <row r="562" spans="1:6" ht="38.25">
      <c r="A562" s="318" t="s">
        <v>238</v>
      </c>
      <c r="B562" s="319" t="s">
        <v>1224</v>
      </c>
      <c r="C562" s="319" t="s">
        <v>430</v>
      </c>
      <c r="D562" s="319" t="s">
        <v>1137</v>
      </c>
      <c r="E562" s="320">
        <v>4102500</v>
      </c>
      <c r="F562" s="320">
        <v>4102500</v>
      </c>
    </row>
    <row r="563" spans="1:6" ht="51">
      <c r="A563" s="318" t="s">
        <v>1705</v>
      </c>
      <c r="B563" s="319" t="s">
        <v>1224</v>
      </c>
      <c r="C563" s="319" t="s">
        <v>430</v>
      </c>
      <c r="D563" s="319" t="s">
        <v>345</v>
      </c>
      <c r="E563" s="320">
        <v>4102500</v>
      </c>
      <c r="F563" s="320">
        <v>4102500</v>
      </c>
    </row>
    <row r="564" spans="1:6" ht="114.75">
      <c r="A564" s="318" t="s">
        <v>1470</v>
      </c>
      <c r="B564" s="319" t="s">
        <v>1471</v>
      </c>
      <c r="C564" s="319" t="s">
        <v>1173</v>
      </c>
      <c r="D564" s="319" t="s">
        <v>1173</v>
      </c>
      <c r="E564" s="320">
        <v>8948</v>
      </c>
      <c r="F564" s="320">
        <v>8948</v>
      </c>
    </row>
    <row r="565" spans="1:6" ht="38.25">
      <c r="A565" s="318" t="s">
        <v>1319</v>
      </c>
      <c r="B565" s="319" t="s">
        <v>1471</v>
      </c>
      <c r="C565" s="319" t="s">
        <v>1320</v>
      </c>
      <c r="D565" s="319" t="s">
        <v>1173</v>
      </c>
      <c r="E565" s="320">
        <v>8948</v>
      </c>
      <c r="F565" s="320">
        <v>8948</v>
      </c>
    </row>
    <row r="566" spans="1:6" ht="38.25">
      <c r="A566" s="318" t="s">
        <v>1196</v>
      </c>
      <c r="B566" s="319" t="s">
        <v>1471</v>
      </c>
      <c r="C566" s="319" t="s">
        <v>1197</v>
      </c>
      <c r="D566" s="319" t="s">
        <v>1173</v>
      </c>
      <c r="E566" s="320">
        <v>8948</v>
      </c>
      <c r="F566" s="320">
        <v>8948</v>
      </c>
    </row>
    <row r="567" spans="1:6" ht="38.25">
      <c r="A567" s="318" t="s">
        <v>238</v>
      </c>
      <c r="B567" s="319" t="s">
        <v>1471</v>
      </c>
      <c r="C567" s="319" t="s">
        <v>1197</v>
      </c>
      <c r="D567" s="319" t="s">
        <v>1137</v>
      </c>
      <c r="E567" s="320">
        <v>8948</v>
      </c>
      <c r="F567" s="320">
        <v>8948</v>
      </c>
    </row>
    <row r="568" spans="1:6" ht="51">
      <c r="A568" s="318" t="s">
        <v>1705</v>
      </c>
      <c r="B568" s="319" t="s">
        <v>1471</v>
      </c>
      <c r="C568" s="319" t="s">
        <v>1197</v>
      </c>
      <c r="D568" s="319" t="s">
        <v>345</v>
      </c>
      <c r="E568" s="320">
        <v>8948</v>
      </c>
      <c r="F568" s="320">
        <v>8948</v>
      </c>
    </row>
    <row r="569" spans="1:6" ht="38.25">
      <c r="A569" s="318" t="s">
        <v>1752</v>
      </c>
      <c r="B569" s="319" t="s">
        <v>1163</v>
      </c>
      <c r="C569" s="319" t="s">
        <v>1173</v>
      </c>
      <c r="D569" s="319" t="s">
        <v>1173</v>
      </c>
      <c r="E569" s="320">
        <v>215000</v>
      </c>
      <c r="F569" s="320">
        <v>215000</v>
      </c>
    </row>
    <row r="570" spans="1:6" ht="102">
      <c r="A570" s="318" t="s">
        <v>1809</v>
      </c>
      <c r="B570" s="319" t="s">
        <v>1810</v>
      </c>
      <c r="C570" s="319" t="s">
        <v>1173</v>
      </c>
      <c r="D570" s="319" t="s">
        <v>1173</v>
      </c>
      <c r="E570" s="320">
        <v>65000</v>
      </c>
      <c r="F570" s="320">
        <v>65000</v>
      </c>
    </row>
    <row r="571" spans="1:6" ht="38.25">
      <c r="A571" s="318" t="s">
        <v>1319</v>
      </c>
      <c r="B571" s="319" t="s">
        <v>1810</v>
      </c>
      <c r="C571" s="319" t="s">
        <v>1320</v>
      </c>
      <c r="D571" s="319" t="s">
        <v>1173</v>
      </c>
      <c r="E571" s="320">
        <v>65000</v>
      </c>
      <c r="F571" s="320">
        <v>65000</v>
      </c>
    </row>
    <row r="572" spans="1:6" ht="38.25">
      <c r="A572" s="318" t="s">
        <v>1196</v>
      </c>
      <c r="B572" s="319" t="s">
        <v>1810</v>
      </c>
      <c r="C572" s="319" t="s">
        <v>1197</v>
      </c>
      <c r="D572" s="319" t="s">
        <v>1173</v>
      </c>
      <c r="E572" s="320">
        <v>65000</v>
      </c>
      <c r="F572" s="320">
        <v>65000</v>
      </c>
    </row>
    <row r="573" spans="1:6">
      <c r="A573" s="318" t="s">
        <v>234</v>
      </c>
      <c r="B573" s="319" t="s">
        <v>1810</v>
      </c>
      <c r="C573" s="319" t="s">
        <v>1197</v>
      </c>
      <c r="D573" s="319" t="s">
        <v>1135</v>
      </c>
      <c r="E573" s="320">
        <v>65000</v>
      </c>
      <c r="F573" s="320">
        <v>65000</v>
      </c>
    </row>
    <row r="574" spans="1:6">
      <c r="A574" s="318" t="s">
        <v>217</v>
      </c>
      <c r="B574" s="319" t="s">
        <v>1810</v>
      </c>
      <c r="C574" s="319" t="s">
        <v>1197</v>
      </c>
      <c r="D574" s="319" t="s">
        <v>337</v>
      </c>
      <c r="E574" s="320">
        <v>65000</v>
      </c>
      <c r="F574" s="320">
        <v>65000</v>
      </c>
    </row>
    <row r="575" spans="1:6" ht="114.75">
      <c r="A575" s="318" t="s">
        <v>1753</v>
      </c>
      <c r="B575" s="319" t="s">
        <v>1701</v>
      </c>
      <c r="C575" s="319" t="s">
        <v>1173</v>
      </c>
      <c r="D575" s="319" t="s">
        <v>1173</v>
      </c>
      <c r="E575" s="320">
        <v>150000</v>
      </c>
      <c r="F575" s="320">
        <v>150000</v>
      </c>
    </row>
    <row r="576" spans="1:6" ht="38.25">
      <c r="A576" s="318" t="s">
        <v>1319</v>
      </c>
      <c r="B576" s="319" t="s">
        <v>1701</v>
      </c>
      <c r="C576" s="319" t="s">
        <v>1320</v>
      </c>
      <c r="D576" s="319" t="s">
        <v>1173</v>
      </c>
      <c r="E576" s="320">
        <v>150000</v>
      </c>
      <c r="F576" s="320">
        <v>150000</v>
      </c>
    </row>
    <row r="577" spans="1:6" ht="38.25">
      <c r="A577" s="318" t="s">
        <v>1196</v>
      </c>
      <c r="B577" s="319" t="s">
        <v>1701</v>
      </c>
      <c r="C577" s="319" t="s">
        <v>1197</v>
      </c>
      <c r="D577" s="319" t="s">
        <v>1173</v>
      </c>
      <c r="E577" s="320">
        <v>150000</v>
      </c>
      <c r="F577" s="320">
        <v>150000</v>
      </c>
    </row>
    <row r="578" spans="1:6">
      <c r="A578" s="318" t="s">
        <v>234</v>
      </c>
      <c r="B578" s="319" t="s">
        <v>1701</v>
      </c>
      <c r="C578" s="319" t="s">
        <v>1197</v>
      </c>
      <c r="D578" s="319" t="s">
        <v>1135</v>
      </c>
      <c r="E578" s="320">
        <v>150000</v>
      </c>
      <c r="F578" s="320">
        <v>150000</v>
      </c>
    </row>
    <row r="579" spans="1:6">
      <c r="A579" s="318" t="s">
        <v>217</v>
      </c>
      <c r="B579" s="319" t="s">
        <v>1701</v>
      </c>
      <c r="C579" s="319" t="s">
        <v>1197</v>
      </c>
      <c r="D579" s="319" t="s">
        <v>337</v>
      </c>
      <c r="E579" s="320">
        <v>150000</v>
      </c>
      <c r="F579" s="320">
        <v>150000</v>
      </c>
    </row>
    <row r="580" spans="1:6" ht="25.5">
      <c r="A580" s="318" t="s">
        <v>461</v>
      </c>
      <c r="B580" s="319" t="s">
        <v>981</v>
      </c>
      <c r="C580" s="319" t="s">
        <v>1173</v>
      </c>
      <c r="D580" s="319" t="s">
        <v>1173</v>
      </c>
      <c r="E580" s="320">
        <v>272373921</v>
      </c>
      <c r="F580" s="320">
        <v>272373921</v>
      </c>
    </row>
    <row r="581" spans="1:6">
      <c r="A581" s="318" t="s">
        <v>462</v>
      </c>
      <c r="B581" s="319" t="s">
        <v>982</v>
      </c>
      <c r="C581" s="319" t="s">
        <v>1173</v>
      </c>
      <c r="D581" s="319" t="s">
        <v>1173</v>
      </c>
      <c r="E581" s="320">
        <v>42670871</v>
      </c>
      <c r="F581" s="320">
        <v>42670871</v>
      </c>
    </row>
    <row r="582" spans="1:6" ht="114.75">
      <c r="A582" s="318" t="s">
        <v>397</v>
      </c>
      <c r="B582" s="319" t="s">
        <v>708</v>
      </c>
      <c r="C582" s="319" t="s">
        <v>1173</v>
      </c>
      <c r="D582" s="319" t="s">
        <v>1173</v>
      </c>
      <c r="E582" s="320">
        <v>36354974</v>
      </c>
      <c r="F582" s="320">
        <v>36354974</v>
      </c>
    </row>
    <row r="583" spans="1:6" ht="38.25">
      <c r="A583" s="318" t="s">
        <v>1327</v>
      </c>
      <c r="B583" s="319" t="s">
        <v>708</v>
      </c>
      <c r="C583" s="319" t="s">
        <v>1328</v>
      </c>
      <c r="D583" s="319" t="s">
        <v>1173</v>
      </c>
      <c r="E583" s="320">
        <v>36354974</v>
      </c>
      <c r="F583" s="320">
        <v>36354974</v>
      </c>
    </row>
    <row r="584" spans="1:6">
      <c r="A584" s="318" t="s">
        <v>1198</v>
      </c>
      <c r="B584" s="319" t="s">
        <v>708</v>
      </c>
      <c r="C584" s="319" t="s">
        <v>1199</v>
      </c>
      <c r="D584" s="319" t="s">
        <v>1173</v>
      </c>
      <c r="E584" s="320">
        <v>36354974</v>
      </c>
      <c r="F584" s="320">
        <v>36354974</v>
      </c>
    </row>
    <row r="585" spans="1:6">
      <c r="A585" s="318" t="s">
        <v>249</v>
      </c>
      <c r="B585" s="319" t="s">
        <v>708</v>
      </c>
      <c r="C585" s="319" t="s">
        <v>1199</v>
      </c>
      <c r="D585" s="319" t="s">
        <v>1148</v>
      </c>
      <c r="E585" s="320">
        <v>36354974</v>
      </c>
      <c r="F585" s="320">
        <v>36354974</v>
      </c>
    </row>
    <row r="586" spans="1:6">
      <c r="A586" s="318" t="s">
        <v>209</v>
      </c>
      <c r="B586" s="319" t="s">
        <v>708</v>
      </c>
      <c r="C586" s="319" t="s">
        <v>1199</v>
      </c>
      <c r="D586" s="319" t="s">
        <v>392</v>
      </c>
      <c r="E586" s="320">
        <v>36354974</v>
      </c>
      <c r="F586" s="320">
        <v>36354974</v>
      </c>
    </row>
    <row r="587" spans="1:6" ht="165.75">
      <c r="A587" s="318" t="s">
        <v>398</v>
      </c>
      <c r="B587" s="319" t="s">
        <v>709</v>
      </c>
      <c r="C587" s="319" t="s">
        <v>1173</v>
      </c>
      <c r="D587" s="319" t="s">
        <v>1173</v>
      </c>
      <c r="E587" s="320">
        <v>50000</v>
      </c>
      <c r="F587" s="320">
        <v>50000</v>
      </c>
    </row>
    <row r="588" spans="1:6" ht="38.25">
      <c r="A588" s="318" t="s">
        <v>1327</v>
      </c>
      <c r="B588" s="319" t="s">
        <v>709</v>
      </c>
      <c r="C588" s="319" t="s">
        <v>1328</v>
      </c>
      <c r="D588" s="319" t="s">
        <v>1173</v>
      </c>
      <c r="E588" s="320">
        <v>50000</v>
      </c>
      <c r="F588" s="320">
        <v>50000</v>
      </c>
    </row>
    <row r="589" spans="1:6">
      <c r="A589" s="318" t="s">
        <v>1198</v>
      </c>
      <c r="B589" s="319" t="s">
        <v>709</v>
      </c>
      <c r="C589" s="319" t="s">
        <v>1199</v>
      </c>
      <c r="D589" s="319" t="s">
        <v>1173</v>
      </c>
      <c r="E589" s="320">
        <v>50000</v>
      </c>
      <c r="F589" s="320">
        <v>50000</v>
      </c>
    </row>
    <row r="590" spans="1:6">
      <c r="A590" s="318" t="s">
        <v>249</v>
      </c>
      <c r="B590" s="319" t="s">
        <v>709</v>
      </c>
      <c r="C590" s="319" t="s">
        <v>1199</v>
      </c>
      <c r="D590" s="319" t="s">
        <v>1148</v>
      </c>
      <c r="E590" s="320">
        <v>50000</v>
      </c>
      <c r="F590" s="320">
        <v>50000</v>
      </c>
    </row>
    <row r="591" spans="1:6">
      <c r="A591" s="318" t="s">
        <v>209</v>
      </c>
      <c r="B591" s="319" t="s">
        <v>709</v>
      </c>
      <c r="C591" s="319" t="s">
        <v>1199</v>
      </c>
      <c r="D591" s="319" t="s">
        <v>392</v>
      </c>
      <c r="E591" s="320">
        <v>50000</v>
      </c>
      <c r="F591" s="320">
        <v>50000</v>
      </c>
    </row>
    <row r="592" spans="1:6" ht="127.5">
      <c r="A592" s="318" t="s">
        <v>1826</v>
      </c>
      <c r="B592" s="319" t="s">
        <v>1827</v>
      </c>
      <c r="C592" s="319" t="s">
        <v>1173</v>
      </c>
      <c r="D592" s="319" t="s">
        <v>1173</v>
      </c>
      <c r="E592" s="320">
        <v>72747</v>
      </c>
      <c r="F592" s="320">
        <v>72747</v>
      </c>
    </row>
    <row r="593" spans="1:6" ht="38.25">
      <c r="A593" s="318" t="s">
        <v>1327</v>
      </c>
      <c r="B593" s="319" t="s">
        <v>1827</v>
      </c>
      <c r="C593" s="319" t="s">
        <v>1328</v>
      </c>
      <c r="D593" s="319" t="s">
        <v>1173</v>
      </c>
      <c r="E593" s="320">
        <v>72747</v>
      </c>
      <c r="F593" s="320">
        <v>72747</v>
      </c>
    </row>
    <row r="594" spans="1:6">
      <c r="A594" s="318" t="s">
        <v>1198</v>
      </c>
      <c r="B594" s="319" t="s">
        <v>1827</v>
      </c>
      <c r="C594" s="319" t="s">
        <v>1199</v>
      </c>
      <c r="D594" s="319" t="s">
        <v>1173</v>
      </c>
      <c r="E594" s="320">
        <v>72747</v>
      </c>
      <c r="F594" s="320">
        <v>72747</v>
      </c>
    </row>
    <row r="595" spans="1:6">
      <c r="A595" s="318" t="s">
        <v>249</v>
      </c>
      <c r="B595" s="319" t="s">
        <v>1827</v>
      </c>
      <c r="C595" s="319" t="s">
        <v>1199</v>
      </c>
      <c r="D595" s="319" t="s">
        <v>1148</v>
      </c>
      <c r="E595" s="320">
        <v>72747</v>
      </c>
      <c r="F595" s="320">
        <v>72747</v>
      </c>
    </row>
    <row r="596" spans="1:6">
      <c r="A596" s="318" t="s">
        <v>209</v>
      </c>
      <c r="B596" s="319" t="s">
        <v>1827</v>
      </c>
      <c r="C596" s="319" t="s">
        <v>1199</v>
      </c>
      <c r="D596" s="319" t="s">
        <v>392</v>
      </c>
      <c r="E596" s="320">
        <v>72747</v>
      </c>
      <c r="F596" s="320">
        <v>72747</v>
      </c>
    </row>
    <row r="597" spans="1:6" ht="114.75">
      <c r="A597" s="318" t="s">
        <v>513</v>
      </c>
      <c r="B597" s="319" t="s">
        <v>710</v>
      </c>
      <c r="C597" s="319" t="s">
        <v>1173</v>
      </c>
      <c r="D597" s="319" t="s">
        <v>1173</v>
      </c>
      <c r="E597" s="320">
        <v>226576</v>
      </c>
      <c r="F597" s="320">
        <v>226576</v>
      </c>
    </row>
    <row r="598" spans="1:6" ht="38.25">
      <c r="A598" s="318" t="s">
        <v>1327</v>
      </c>
      <c r="B598" s="319" t="s">
        <v>710</v>
      </c>
      <c r="C598" s="319" t="s">
        <v>1328</v>
      </c>
      <c r="D598" s="319" t="s">
        <v>1173</v>
      </c>
      <c r="E598" s="320">
        <v>226576</v>
      </c>
      <c r="F598" s="320">
        <v>226576</v>
      </c>
    </row>
    <row r="599" spans="1:6">
      <c r="A599" s="318" t="s">
        <v>1198</v>
      </c>
      <c r="B599" s="319" t="s">
        <v>710</v>
      </c>
      <c r="C599" s="319" t="s">
        <v>1199</v>
      </c>
      <c r="D599" s="319" t="s">
        <v>1173</v>
      </c>
      <c r="E599" s="320">
        <v>226576</v>
      </c>
      <c r="F599" s="320">
        <v>226576</v>
      </c>
    </row>
    <row r="600" spans="1:6">
      <c r="A600" s="318" t="s">
        <v>249</v>
      </c>
      <c r="B600" s="319" t="s">
        <v>710</v>
      </c>
      <c r="C600" s="319" t="s">
        <v>1199</v>
      </c>
      <c r="D600" s="319" t="s">
        <v>1148</v>
      </c>
      <c r="E600" s="320">
        <v>226576</v>
      </c>
      <c r="F600" s="320">
        <v>226576</v>
      </c>
    </row>
    <row r="601" spans="1:6">
      <c r="A601" s="318" t="s">
        <v>209</v>
      </c>
      <c r="B601" s="319" t="s">
        <v>710</v>
      </c>
      <c r="C601" s="319" t="s">
        <v>1199</v>
      </c>
      <c r="D601" s="319" t="s">
        <v>392</v>
      </c>
      <c r="E601" s="320">
        <v>226576</v>
      </c>
      <c r="F601" s="320">
        <v>226576</v>
      </c>
    </row>
    <row r="602" spans="1:6" ht="114.75">
      <c r="A602" s="318" t="s">
        <v>568</v>
      </c>
      <c r="B602" s="319" t="s">
        <v>711</v>
      </c>
      <c r="C602" s="319" t="s">
        <v>1173</v>
      </c>
      <c r="D602" s="319" t="s">
        <v>1173</v>
      </c>
      <c r="E602" s="320">
        <v>3700000</v>
      </c>
      <c r="F602" s="320">
        <v>3700000</v>
      </c>
    </row>
    <row r="603" spans="1:6" ht="38.25">
      <c r="A603" s="318" t="s">
        <v>1327</v>
      </c>
      <c r="B603" s="319" t="s">
        <v>711</v>
      </c>
      <c r="C603" s="319" t="s">
        <v>1328</v>
      </c>
      <c r="D603" s="319" t="s">
        <v>1173</v>
      </c>
      <c r="E603" s="320">
        <v>3700000</v>
      </c>
      <c r="F603" s="320">
        <v>3700000</v>
      </c>
    </row>
    <row r="604" spans="1:6">
      <c r="A604" s="318" t="s">
        <v>1198</v>
      </c>
      <c r="B604" s="319" t="s">
        <v>711</v>
      </c>
      <c r="C604" s="319" t="s">
        <v>1199</v>
      </c>
      <c r="D604" s="319" t="s">
        <v>1173</v>
      </c>
      <c r="E604" s="320">
        <v>3700000</v>
      </c>
      <c r="F604" s="320">
        <v>3700000</v>
      </c>
    </row>
    <row r="605" spans="1:6">
      <c r="A605" s="318" t="s">
        <v>249</v>
      </c>
      <c r="B605" s="319" t="s">
        <v>711</v>
      </c>
      <c r="C605" s="319" t="s">
        <v>1199</v>
      </c>
      <c r="D605" s="319" t="s">
        <v>1148</v>
      </c>
      <c r="E605" s="320">
        <v>3700000</v>
      </c>
      <c r="F605" s="320">
        <v>3700000</v>
      </c>
    </row>
    <row r="606" spans="1:6">
      <c r="A606" s="318" t="s">
        <v>209</v>
      </c>
      <c r="B606" s="319" t="s">
        <v>711</v>
      </c>
      <c r="C606" s="319" t="s">
        <v>1199</v>
      </c>
      <c r="D606" s="319" t="s">
        <v>392</v>
      </c>
      <c r="E606" s="320">
        <v>3700000</v>
      </c>
      <c r="F606" s="320">
        <v>3700000</v>
      </c>
    </row>
    <row r="607" spans="1:6" ht="76.5">
      <c r="A607" s="318" t="s">
        <v>1631</v>
      </c>
      <c r="B607" s="319" t="s">
        <v>1632</v>
      </c>
      <c r="C607" s="319" t="s">
        <v>1173</v>
      </c>
      <c r="D607" s="319" t="s">
        <v>1173</v>
      </c>
      <c r="E607" s="320">
        <v>35200</v>
      </c>
      <c r="F607" s="320">
        <v>35200</v>
      </c>
    </row>
    <row r="608" spans="1:6" ht="38.25">
      <c r="A608" s="318" t="s">
        <v>1327</v>
      </c>
      <c r="B608" s="319" t="s">
        <v>1632</v>
      </c>
      <c r="C608" s="319" t="s">
        <v>1328</v>
      </c>
      <c r="D608" s="319" t="s">
        <v>1173</v>
      </c>
      <c r="E608" s="320">
        <v>35200</v>
      </c>
      <c r="F608" s="320">
        <v>35200</v>
      </c>
    </row>
    <row r="609" spans="1:6">
      <c r="A609" s="318" t="s">
        <v>1198</v>
      </c>
      <c r="B609" s="319" t="s">
        <v>1632</v>
      </c>
      <c r="C609" s="319" t="s">
        <v>1199</v>
      </c>
      <c r="D609" s="319" t="s">
        <v>1173</v>
      </c>
      <c r="E609" s="320">
        <v>35200</v>
      </c>
      <c r="F609" s="320">
        <v>35200</v>
      </c>
    </row>
    <row r="610" spans="1:6">
      <c r="A610" s="318" t="s">
        <v>249</v>
      </c>
      <c r="B610" s="319" t="s">
        <v>1632</v>
      </c>
      <c r="C610" s="319" t="s">
        <v>1199</v>
      </c>
      <c r="D610" s="319" t="s">
        <v>1148</v>
      </c>
      <c r="E610" s="320">
        <v>35200</v>
      </c>
      <c r="F610" s="320">
        <v>35200</v>
      </c>
    </row>
    <row r="611" spans="1:6">
      <c r="A611" s="318" t="s">
        <v>209</v>
      </c>
      <c r="B611" s="319" t="s">
        <v>1632</v>
      </c>
      <c r="C611" s="319" t="s">
        <v>1199</v>
      </c>
      <c r="D611" s="319" t="s">
        <v>392</v>
      </c>
      <c r="E611" s="320">
        <v>35200</v>
      </c>
      <c r="F611" s="320">
        <v>35200</v>
      </c>
    </row>
    <row r="612" spans="1:6" ht="102">
      <c r="A612" s="318" t="s">
        <v>958</v>
      </c>
      <c r="B612" s="319" t="s">
        <v>959</v>
      </c>
      <c r="C612" s="319" t="s">
        <v>1173</v>
      </c>
      <c r="D612" s="319" t="s">
        <v>1173</v>
      </c>
      <c r="E612" s="320">
        <v>1300000</v>
      </c>
      <c r="F612" s="320">
        <v>1300000</v>
      </c>
    </row>
    <row r="613" spans="1:6" ht="38.25">
      <c r="A613" s="318" t="s">
        <v>1327</v>
      </c>
      <c r="B613" s="319" t="s">
        <v>959</v>
      </c>
      <c r="C613" s="319" t="s">
        <v>1328</v>
      </c>
      <c r="D613" s="319" t="s">
        <v>1173</v>
      </c>
      <c r="E613" s="320">
        <v>1300000</v>
      </c>
      <c r="F613" s="320">
        <v>1300000</v>
      </c>
    </row>
    <row r="614" spans="1:6">
      <c r="A614" s="318" t="s">
        <v>1198</v>
      </c>
      <c r="B614" s="319" t="s">
        <v>959</v>
      </c>
      <c r="C614" s="319" t="s">
        <v>1199</v>
      </c>
      <c r="D614" s="319" t="s">
        <v>1173</v>
      </c>
      <c r="E614" s="320">
        <v>1300000</v>
      </c>
      <c r="F614" s="320">
        <v>1300000</v>
      </c>
    </row>
    <row r="615" spans="1:6">
      <c r="A615" s="318" t="s">
        <v>249</v>
      </c>
      <c r="B615" s="319" t="s">
        <v>959</v>
      </c>
      <c r="C615" s="319" t="s">
        <v>1199</v>
      </c>
      <c r="D615" s="319" t="s">
        <v>1148</v>
      </c>
      <c r="E615" s="320">
        <v>1300000</v>
      </c>
      <c r="F615" s="320">
        <v>1300000</v>
      </c>
    </row>
    <row r="616" spans="1:6">
      <c r="A616" s="318" t="s">
        <v>209</v>
      </c>
      <c r="B616" s="319" t="s">
        <v>959</v>
      </c>
      <c r="C616" s="319" t="s">
        <v>1199</v>
      </c>
      <c r="D616" s="319" t="s">
        <v>392</v>
      </c>
      <c r="E616" s="320">
        <v>1300000</v>
      </c>
      <c r="F616" s="320">
        <v>1300000</v>
      </c>
    </row>
    <row r="617" spans="1:6" ht="63.75">
      <c r="A617" s="318" t="s">
        <v>401</v>
      </c>
      <c r="B617" s="319" t="s">
        <v>718</v>
      </c>
      <c r="C617" s="319" t="s">
        <v>1173</v>
      </c>
      <c r="D617" s="319" t="s">
        <v>1173</v>
      </c>
      <c r="E617" s="320">
        <v>150000</v>
      </c>
      <c r="F617" s="320">
        <v>150000</v>
      </c>
    </row>
    <row r="618" spans="1:6" ht="38.25">
      <c r="A618" s="318" t="s">
        <v>1327</v>
      </c>
      <c r="B618" s="319" t="s">
        <v>718</v>
      </c>
      <c r="C618" s="319" t="s">
        <v>1328</v>
      </c>
      <c r="D618" s="319" t="s">
        <v>1173</v>
      </c>
      <c r="E618" s="320">
        <v>150000</v>
      </c>
      <c r="F618" s="320">
        <v>150000</v>
      </c>
    </row>
    <row r="619" spans="1:6">
      <c r="A619" s="318" t="s">
        <v>1198</v>
      </c>
      <c r="B619" s="319" t="s">
        <v>718</v>
      </c>
      <c r="C619" s="319" t="s">
        <v>1199</v>
      </c>
      <c r="D619" s="319" t="s">
        <v>1173</v>
      </c>
      <c r="E619" s="320">
        <v>150000</v>
      </c>
      <c r="F619" s="320">
        <v>150000</v>
      </c>
    </row>
    <row r="620" spans="1:6">
      <c r="A620" s="318" t="s">
        <v>249</v>
      </c>
      <c r="B620" s="319" t="s">
        <v>718</v>
      </c>
      <c r="C620" s="319" t="s">
        <v>1199</v>
      </c>
      <c r="D620" s="319" t="s">
        <v>1148</v>
      </c>
      <c r="E620" s="320">
        <v>150000</v>
      </c>
      <c r="F620" s="320">
        <v>150000</v>
      </c>
    </row>
    <row r="621" spans="1:6">
      <c r="A621" s="318" t="s">
        <v>209</v>
      </c>
      <c r="B621" s="319" t="s">
        <v>718</v>
      </c>
      <c r="C621" s="319" t="s">
        <v>1199</v>
      </c>
      <c r="D621" s="319" t="s">
        <v>392</v>
      </c>
      <c r="E621" s="320">
        <v>150000</v>
      </c>
      <c r="F621" s="320">
        <v>150000</v>
      </c>
    </row>
    <row r="622" spans="1:6" ht="89.25">
      <c r="A622" s="318" t="s">
        <v>2066</v>
      </c>
      <c r="B622" s="319" t="s">
        <v>2067</v>
      </c>
      <c r="C622" s="319" t="s">
        <v>1173</v>
      </c>
      <c r="D622" s="319" t="s">
        <v>1173</v>
      </c>
      <c r="E622" s="320">
        <v>342424</v>
      </c>
      <c r="F622" s="320">
        <v>342424</v>
      </c>
    </row>
    <row r="623" spans="1:6" ht="38.25">
      <c r="A623" s="318" t="s">
        <v>1327</v>
      </c>
      <c r="B623" s="319" t="s">
        <v>2067</v>
      </c>
      <c r="C623" s="319" t="s">
        <v>1328</v>
      </c>
      <c r="D623" s="319" t="s">
        <v>1173</v>
      </c>
      <c r="E623" s="320">
        <v>342424</v>
      </c>
      <c r="F623" s="320">
        <v>342424</v>
      </c>
    </row>
    <row r="624" spans="1:6">
      <c r="A624" s="318" t="s">
        <v>1198</v>
      </c>
      <c r="B624" s="319" t="s">
        <v>2067</v>
      </c>
      <c r="C624" s="319" t="s">
        <v>1199</v>
      </c>
      <c r="D624" s="319" t="s">
        <v>1173</v>
      </c>
      <c r="E624" s="320">
        <v>342424</v>
      </c>
      <c r="F624" s="320">
        <v>342424</v>
      </c>
    </row>
    <row r="625" spans="1:6">
      <c r="A625" s="318" t="s">
        <v>249</v>
      </c>
      <c r="B625" s="319" t="s">
        <v>2067</v>
      </c>
      <c r="C625" s="319" t="s">
        <v>1199</v>
      </c>
      <c r="D625" s="319" t="s">
        <v>1148</v>
      </c>
      <c r="E625" s="320">
        <v>342424</v>
      </c>
      <c r="F625" s="320">
        <v>342424</v>
      </c>
    </row>
    <row r="626" spans="1:6">
      <c r="A626" s="318" t="s">
        <v>209</v>
      </c>
      <c r="B626" s="319" t="s">
        <v>2067</v>
      </c>
      <c r="C626" s="319" t="s">
        <v>1199</v>
      </c>
      <c r="D626" s="319" t="s">
        <v>392</v>
      </c>
      <c r="E626" s="320">
        <v>342424</v>
      </c>
      <c r="F626" s="320">
        <v>342424</v>
      </c>
    </row>
    <row r="627" spans="1:6" ht="63.75">
      <c r="A627" s="318" t="s">
        <v>1502</v>
      </c>
      <c r="B627" s="319" t="s">
        <v>712</v>
      </c>
      <c r="C627" s="319" t="s">
        <v>1173</v>
      </c>
      <c r="D627" s="319" t="s">
        <v>1173</v>
      </c>
      <c r="E627" s="320">
        <v>438950</v>
      </c>
      <c r="F627" s="320">
        <v>438950</v>
      </c>
    </row>
    <row r="628" spans="1:6" ht="38.25">
      <c r="A628" s="318" t="s">
        <v>1327</v>
      </c>
      <c r="B628" s="319" t="s">
        <v>712</v>
      </c>
      <c r="C628" s="319" t="s">
        <v>1328</v>
      </c>
      <c r="D628" s="319" t="s">
        <v>1173</v>
      </c>
      <c r="E628" s="320">
        <v>438950</v>
      </c>
      <c r="F628" s="320">
        <v>438950</v>
      </c>
    </row>
    <row r="629" spans="1:6">
      <c r="A629" s="318" t="s">
        <v>1198</v>
      </c>
      <c r="B629" s="319" t="s">
        <v>712</v>
      </c>
      <c r="C629" s="319" t="s">
        <v>1199</v>
      </c>
      <c r="D629" s="319" t="s">
        <v>1173</v>
      </c>
      <c r="E629" s="320">
        <v>438950</v>
      </c>
      <c r="F629" s="320">
        <v>438950</v>
      </c>
    </row>
    <row r="630" spans="1:6">
      <c r="A630" s="318" t="s">
        <v>249</v>
      </c>
      <c r="B630" s="319" t="s">
        <v>712</v>
      </c>
      <c r="C630" s="319" t="s">
        <v>1199</v>
      </c>
      <c r="D630" s="319" t="s">
        <v>1148</v>
      </c>
      <c r="E630" s="320">
        <v>438950</v>
      </c>
      <c r="F630" s="320">
        <v>438950</v>
      </c>
    </row>
    <row r="631" spans="1:6">
      <c r="A631" s="318" t="s">
        <v>209</v>
      </c>
      <c r="B631" s="319" t="s">
        <v>712</v>
      </c>
      <c r="C631" s="319" t="s">
        <v>1199</v>
      </c>
      <c r="D631" s="319" t="s">
        <v>392</v>
      </c>
      <c r="E631" s="320">
        <v>438950</v>
      </c>
      <c r="F631" s="320">
        <v>438950</v>
      </c>
    </row>
    <row r="632" spans="1:6" ht="25.5">
      <c r="A632" s="318" t="s">
        <v>594</v>
      </c>
      <c r="B632" s="319" t="s">
        <v>983</v>
      </c>
      <c r="C632" s="319" t="s">
        <v>1173</v>
      </c>
      <c r="D632" s="319" t="s">
        <v>1173</v>
      </c>
      <c r="E632" s="320">
        <v>94341668</v>
      </c>
      <c r="F632" s="320">
        <v>94341668</v>
      </c>
    </row>
    <row r="633" spans="1:6" ht="127.5">
      <c r="A633" s="318" t="s">
        <v>516</v>
      </c>
      <c r="B633" s="319" t="s">
        <v>720</v>
      </c>
      <c r="C633" s="319" t="s">
        <v>1173</v>
      </c>
      <c r="D633" s="319" t="s">
        <v>1173</v>
      </c>
      <c r="E633" s="320">
        <v>69292273</v>
      </c>
      <c r="F633" s="320">
        <v>69292273</v>
      </c>
    </row>
    <row r="634" spans="1:6" ht="38.25">
      <c r="A634" s="318" t="s">
        <v>1327</v>
      </c>
      <c r="B634" s="319" t="s">
        <v>720</v>
      </c>
      <c r="C634" s="319" t="s">
        <v>1328</v>
      </c>
      <c r="D634" s="319" t="s">
        <v>1173</v>
      </c>
      <c r="E634" s="320">
        <v>69292273</v>
      </c>
      <c r="F634" s="320">
        <v>69292273</v>
      </c>
    </row>
    <row r="635" spans="1:6">
      <c r="A635" s="318" t="s">
        <v>1198</v>
      </c>
      <c r="B635" s="319" t="s">
        <v>720</v>
      </c>
      <c r="C635" s="319" t="s">
        <v>1199</v>
      </c>
      <c r="D635" s="319" t="s">
        <v>1173</v>
      </c>
      <c r="E635" s="320">
        <v>69292273</v>
      </c>
      <c r="F635" s="320">
        <v>69292273</v>
      </c>
    </row>
    <row r="636" spans="1:6">
      <c r="A636" s="318" t="s">
        <v>249</v>
      </c>
      <c r="B636" s="319" t="s">
        <v>720</v>
      </c>
      <c r="C636" s="319" t="s">
        <v>1199</v>
      </c>
      <c r="D636" s="319" t="s">
        <v>1148</v>
      </c>
      <c r="E636" s="320">
        <v>69292273</v>
      </c>
      <c r="F636" s="320">
        <v>69292273</v>
      </c>
    </row>
    <row r="637" spans="1:6">
      <c r="A637" s="318" t="s">
        <v>209</v>
      </c>
      <c r="B637" s="319" t="s">
        <v>720</v>
      </c>
      <c r="C637" s="319" t="s">
        <v>1199</v>
      </c>
      <c r="D637" s="319" t="s">
        <v>392</v>
      </c>
      <c r="E637" s="320">
        <v>69292273</v>
      </c>
      <c r="F637" s="320">
        <v>69292273</v>
      </c>
    </row>
    <row r="638" spans="1:6" ht="178.5">
      <c r="A638" s="318" t="s">
        <v>517</v>
      </c>
      <c r="B638" s="319" t="s">
        <v>721</v>
      </c>
      <c r="C638" s="319" t="s">
        <v>1173</v>
      </c>
      <c r="D638" s="319" t="s">
        <v>1173</v>
      </c>
      <c r="E638" s="320">
        <v>310000</v>
      </c>
      <c r="F638" s="320">
        <v>310000</v>
      </c>
    </row>
    <row r="639" spans="1:6" ht="38.25">
      <c r="A639" s="318" t="s">
        <v>1327</v>
      </c>
      <c r="B639" s="319" t="s">
        <v>721</v>
      </c>
      <c r="C639" s="319" t="s">
        <v>1328</v>
      </c>
      <c r="D639" s="319" t="s">
        <v>1173</v>
      </c>
      <c r="E639" s="320">
        <v>310000</v>
      </c>
      <c r="F639" s="320">
        <v>310000</v>
      </c>
    </row>
    <row r="640" spans="1:6">
      <c r="A640" s="318" t="s">
        <v>1198</v>
      </c>
      <c r="B640" s="319" t="s">
        <v>721</v>
      </c>
      <c r="C640" s="319" t="s">
        <v>1199</v>
      </c>
      <c r="D640" s="319" t="s">
        <v>1173</v>
      </c>
      <c r="E640" s="320">
        <v>310000</v>
      </c>
      <c r="F640" s="320">
        <v>310000</v>
      </c>
    </row>
    <row r="641" spans="1:6">
      <c r="A641" s="318" t="s">
        <v>249</v>
      </c>
      <c r="B641" s="319" t="s">
        <v>721</v>
      </c>
      <c r="C641" s="319" t="s">
        <v>1199</v>
      </c>
      <c r="D641" s="319" t="s">
        <v>1148</v>
      </c>
      <c r="E641" s="320">
        <v>310000</v>
      </c>
      <c r="F641" s="320">
        <v>310000</v>
      </c>
    </row>
    <row r="642" spans="1:6">
      <c r="A642" s="318" t="s">
        <v>209</v>
      </c>
      <c r="B642" s="319" t="s">
        <v>721</v>
      </c>
      <c r="C642" s="319" t="s">
        <v>1199</v>
      </c>
      <c r="D642" s="319" t="s">
        <v>392</v>
      </c>
      <c r="E642" s="320">
        <v>310000</v>
      </c>
      <c r="F642" s="320">
        <v>310000</v>
      </c>
    </row>
    <row r="643" spans="1:6" ht="140.25">
      <c r="A643" s="318" t="s">
        <v>518</v>
      </c>
      <c r="B643" s="319" t="s">
        <v>722</v>
      </c>
      <c r="C643" s="319" t="s">
        <v>1173</v>
      </c>
      <c r="D643" s="319" t="s">
        <v>1173</v>
      </c>
      <c r="E643" s="320">
        <v>309395</v>
      </c>
      <c r="F643" s="320">
        <v>309395</v>
      </c>
    </row>
    <row r="644" spans="1:6" ht="38.25">
      <c r="A644" s="318" t="s">
        <v>1327</v>
      </c>
      <c r="B644" s="319" t="s">
        <v>722</v>
      </c>
      <c r="C644" s="319" t="s">
        <v>1328</v>
      </c>
      <c r="D644" s="319" t="s">
        <v>1173</v>
      </c>
      <c r="E644" s="320">
        <v>309395</v>
      </c>
      <c r="F644" s="320">
        <v>309395</v>
      </c>
    </row>
    <row r="645" spans="1:6">
      <c r="A645" s="318" t="s">
        <v>1198</v>
      </c>
      <c r="B645" s="319" t="s">
        <v>722</v>
      </c>
      <c r="C645" s="319" t="s">
        <v>1199</v>
      </c>
      <c r="D645" s="319" t="s">
        <v>1173</v>
      </c>
      <c r="E645" s="320">
        <v>309395</v>
      </c>
      <c r="F645" s="320">
        <v>309395</v>
      </c>
    </row>
    <row r="646" spans="1:6">
      <c r="A646" s="318" t="s">
        <v>249</v>
      </c>
      <c r="B646" s="319" t="s">
        <v>722</v>
      </c>
      <c r="C646" s="319" t="s">
        <v>1199</v>
      </c>
      <c r="D646" s="319" t="s">
        <v>1148</v>
      </c>
      <c r="E646" s="320">
        <v>309395</v>
      </c>
      <c r="F646" s="320">
        <v>309395</v>
      </c>
    </row>
    <row r="647" spans="1:6">
      <c r="A647" s="318" t="s">
        <v>209</v>
      </c>
      <c r="B647" s="319" t="s">
        <v>722</v>
      </c>
      <c r="C647" s="319" t="s">
        <v>1199</v>
      </c>
      <c r="D647" s="319" t="s">
        <v>392</v>
      </c>
      <c r="E647" s="320">
        <v>309395</v>
      </c>
      <c r="F647" s="320">
        <v>309395</v>
      </c>
    </row>
    <row r="648" spans="1:6" ht="127.5">
      <c r="A648" s="318" t="s">
        <v>519</v>
      </c>
      <c r="B648" s="319" t="s">
        <v>723</v>
      </c>
      <c r="C648" s="319" t="s">
        <v>1173</v>
      </c>
      <c r="D648" s="319" t="s">
        <v>1173</v>
      </c>
      <c r="E648" s="320">
        <v>700000</v>
      </c>
      <c r="F648" s="320">
        <v>700000</v>
      </c>
    </row>
    <row r="649" spans="1:6" ht="38.25">
      <c r="A649" s="318" t="s">
        <v>1327</v>
      </c>
      <c r="B649" s="319" t="s">
        <v>723</v>
      </c>
      <c r="C649" s="319" t="s">
        <v>1328</v>
      </c>
      <c r="D649" s="319" t="s">
        <v>1173</v>
      </c>
      <c r="E649" s="320">
        <v>700000</v>
      </c>
      <c r="F649" s="320">
        <v>700000</v>
      </c>
    </row>
    <row r="650" spans="1:6">
      <c r="A650" s="318" t="s">
        <v>1198</v>
      </c>
      <c r="B650" s="319" t="s">
        <v>723</v>
      </c>
      <c r="C650" s="319" t="s">
        <v>1199</v>
      </c>
      <c r="D650" s="319" t="s">
        <v>1173</v>
      </c>
      <c r="E650" s="320">
        <v>700000</v>
      </c>
      <c r="F650" s="320">
        <v>700000</v>
      </c>
    </row>
    <row r="651" spans="1:6">
      <c r="A651" s="318" t="s">
        <v>249</v>
      </c>
      <c r="B651" s="319" t="s">
        <v>723</v>
      </c>
      <c r="C651" s="319" t="s">
        <v>1199</v>
      </c>
      <c r="D651" s="319" t="s">
        <v>1148</v>
      </c>
      <c r="E651" s="320">
        <v>700000</v>
      </c>
      <c r="F651" s="320">
        <v>700000</v>
      </c>
    </row>
    <row r="652" spans="1:6">
      <c r="A652" s="318" t="s">
        <v>209</v>
      </c>
      <c r="B652" s="319" t="s">
        <v>723</v>
      </c>
      <c r="C652" s="319" t="s">
        <v>1199</v>
      </c>
      <c r="D652" s="319" t="s">
        <v>392</v>
      </c>
      <c r="E652" s="320">
        <v>700000</v>
      </c>
      <c r="F652" s="320">
        <v>700000</v>
      </c>
    </row>
    <row r="653" spans="1:6" ht="127.5">
      <c r="A653" s="318" t="s">
        <v>570</v>
      </c>
      <c r="B653" s="319" t="s">
        <v>724</v>
      </c>
      <c r="C653" s="319" t="s">
        <v>1173</v>
      </c>
      <c r="D653" s="319" t="s">
        <v>1173</v>
      </c>
      <c r="E653" s="320">
        <v>20000000</v>
      </c>
      <c r="F653" s="320">
        <v>20000000</v>
      </c>
    </row>
    <row r="654" spans="1:6" ht="38.25">
      <c r="A654" s="318" t="s">
        <v>1327</v>
      </c>
      <c r="B654" s="319" t="s">
        <v>724</v>
      </c>
      <c r="C654" s="319" t="s">
        <v>1328</v>
      </c>
      <c r="D654" s="319" t="s">
        <v>1173</v>
      </c>
      <c r="E654" s="320">
        <v>20000000</v>
      </c>
      <c r="F654" s="320">
        <v>20000000</v>
      </c>
    </row>
    <row r="655" spans="1:6">
      <c r="A655" s="318" t="s">
        <v>1198</v>
      </c>
      <c r="B655" s="319" t="s">
        <v>724</v>
      </c>
      <c r="C655" s="319" t="s">
        <v>1199</v>
      </c>
      <c r="D655" s="319" t="s">
        <v>1173</v>
      </c>
      <c r="E655" s="320">
        <v>20000000</v>
      </c>
      <c r="F655" s="320">
        <v>20000000</v>
      </c>
    </row>
    <row r="656" spans="1:6">
      <c r="A656" s="318" t="s">
        <v>249</v>
      </c>
      <c r="B656" s="319" t="s">
        <v>724</v>
      </c>
      <c r="C656" s="319" t="s">
        <v>1199</v>
      </c>
      <c r="D656" s="319" t="s">
        <v>1148</v>
      </c>
      <c r="E656" s="320">
        <v>20000000</v>
      </c>
      <c r="F656" s="320">
        <v>20000000</v>
      </c>
    </row>
    <row r="657" spans="1:6">
      <c r="A657" s="318" t="s">
        <v>209</v>
      </c>
      <c r="B657" s="319" t="s">
        <v>724</v>
      </c>
      <c r="C657" s="319" t="s">
        <v>1199</v>
      </c>
      <c r="D657" s="319" t="s">
        <v>392</v>
      </c>
      <c r="E657" s="320">
        <v>20000000</v>
      </c>
      <c r="F657" s="320">
        <v>20000000</v>
      </c>
    </row>
    <row r="658" spans="1:6" ht="89.25">
      <c r="A658" s="318" t="s">
        <v>1633</v>
      </c>
      <c r="B658" s="319" t="s">
        <v>1634</v>
      </c>
      <c r="C658" s="319" t="s">
        <v>1173</v>
      </c>
      <c r="D658" s="319" t="s">
        <v>1173</v>
      </c>
      <c r="E658" s="320">
        <v>380000</v>
      </c>
      <c r="F658" s="320">
        <v>380000</v>
      </c>
    </row>
    <row r="659" spans="1:6" ht="38.25">
      <c r="A659" s="318" t="s">
        <v>1327</v>
      </c>
      <c r="B659" s="319" t="s">
        <v>1634</v>
      </c>
      <c r="C659" s="319" t="s">
        <v>1328</v>
      </c>
      <c r="D659" s="319" t="s">
        <v>1173</v>
      </c>
      <c r="E659" s="320">
        <v>380000</v>
      </c>
      <c r="F659" s="320">
        <v>380000</v>
      </c>
    </row>
    <row r="660" spans="1:6">
      <c r="A660" s="318" t="s">
        <v>1198</v>
      </c>
      <c r="B660" s="319" t="s">
        <v>1634</v>
      </c>
      <c r="C660" s="319" t="s">
        <v>1199</v>
      </c>
      <c r="D660" s="319" t="s">
        <v>1173</v>
      </c>
      <c r="E660" s="320">
        <v>380000</v>
      </c>
      <c r="F660" s="320">
        <v>380000</v>
      </c>
    </row>
    <row r="661" spans="1:6">
      <c r="A661" s="318" t="s">
        <v>249</v>
      </c>
      <c r="B661" s="319" t="s">
        <v>1634</v>
      </c>
      <c r="C661" s="319" t="s">
        <v>1199</v>
      </c>
      <c r="D661" s="319" t="s">
        <v>1148</v>
      </c>
      <c r="E661" s="320">
        <v>380000</v>
      </c>
      <c r="F661" s="320">
        <v>380000</v>
      </c>
    </row>
    <row r="662" spans="1:6">
      <c r="A662" s="318" t="s">
        <v>209</v>
      </c>
      <c r="B662" s="319" t="s">
        <v>1634</v>
      </c>
      <c r="C662" s="319" t="s">
        <v>1199</v>
      </c>
      <c r="D662" s="319" t="s">
        <v>392</v>
      </c>
      <c r="E662" s="320">
        <v>380000</v>
      </c>
      <c r="F662" s="320">
        <v>380000</v>
      </c>
    </row>
    <row r="663" spans="1:6" ht="114.75">
      <c r="A663" s="318" t="s">
        <v>960</v>
      </c>
      <c r="B663" s="319" t="s">
        <v>961</v>
      </c>
      <c r="C663" s="319" t="s">
        <v>1173</v>
      </c>
      <c r="D663" s="319" t="s">
        <v>1173</v>
      </c>
      <c r="E663" s="320">
        <v>3350000</v>
      </c>
      <c r="F663" s="320">
        <v>3350000</v>
      </c>
    </row>
    <row r="664" spans="1:6" ht="38.25">
      <c r="A664" s="318" t="s">
        <v>1327</v>
      </c>
      <c r="B664" s="319" t="s">
        <v>961</v>
      </c>
      <c r="C664" s="319" t="s">
        <v>1328</v>
      </c>
      <c r="D664" s="319" t="s">
        <v>1173</v>
      </c>
      <c r="E664" s="320">
        <v>3350000</v>
      </c>
      <c r="F664" s="320">
        <v>3350000</v>
      </c>
    </row>
    <row r="665" spans="1:6">
      <c r="A665" s="318" t="s">
        <v>1198</v>
      </c>
      <c r="B665" s="319" t="s">
        <v>961</v>
      </c>
      <c r="C665" s="319" t="s">
        <v>1199</v>
      </c>
      <c r="D665" s="319" t="s">
        <v>1173</v>
      </c>
      <c r="E665" s="320">
        <v>3350000</v>
      </c>
      <c r="F665" s="320">
        <v>3350000</v>
      </c>
    </row>
    <row r="666" spans="1:6">
      <c r="A666" s="318" t="s">
        <v>249</v>
      </c>
      <c r="B666" s="319" t="s">
        <v>961</v>
      </c>
      <c r="C666" s="319" t="s">
        <v>1199</v>
      </c>
      <c r="D666" s="319" t="s">
        <v>1148</v>
      </c>
      <c r="E666" s="320">
        <v>3350000</v>
      </c>
      <c r="F666" s="320">
        <v>3350000</v>
      </c>
    </row>
    <row r="667" spans="1:6">
      <c r="A667" s="318" t="s">
        <v>209</v>
      </c>
      <c r="B667" s="319" t="s">
        <v>961</v>
      </c>
      <c r="C667" s="319" t="s">
        <v>1199</v>
      </c>
      <c r="D667" s="319" t="s">
        <v>392</v>
      </c>
      <c r="E667" s="320">
        <v>3350000</v>
      </c>
      <c r="F667" s="320">
        <v>3350000</v>
      </c>
    </row>
    <row r="668" spans="1:6" ht="38.25">
      <c r="A668" s="318" t="s">
        <v>595</v>
      </c>
      <c r="B668" s="319" t="s">
        <v>984</v>
      </c>
      <c r="C668" s="319" t="s">
        <v>1173</v>
      </c>
      <c r="D668" s="319" t="s">
        <v>1173</v>
      </c>
      <c r="E668" s="320">
        <v>135361382</v>
      </c>
      <c r="F668" s="320">
        <v>135361382</v>
      </c>
    </row>
    <row r="669" spans="1:6" ht="140.25">
      <c r="A669" s="318" t="s">
        <v>509</v>
      </c>
      <c r="B669" s="319" t="s">
        <v>703</v>
      </c>
      <c r="C669" s="319" t="s">
        <v>1173</v>
      </c>
      <c r="D669" s="319" t="s">
        <v>1173</v>
      </c>
      <c r="E669" s="320">
        <v>81604492</v>
      </c>
      <c r="F669" s="320">
        <v>81604492</v>
      </c>
    </row>
    <row r="670" spans="1:6" ht="76.5">
      <c r="A670" s="318" t="s">
        <v>1318</v>
      </c>
      <c r="B670" s="319" t="s">
        <v>703</v>
      </c>
      <c r="C670" s="319" t="s">
        <v>273</v>
      </c>
      <c r="D670" s="319" t="s">
        <v>1173</v>
      </c>
      <c r="E670" s="320">
        <v>42352824</v>
      </c>
      <c r="F670" s="320">
        <v>42352824</v>
      </c>
    </row>
    <row r="671" spans="1:6" ht="25.5">
      <c r="A671" s="318" t="s">
        <v>1190</v>
      </c>
      <c r="B671" s="319" t="s">
        <v>703</v>
      </c>
      <c r="C671" s="319" t="s">
        <v>133</v>
      </c>
      <c r="D671" s="319" t="s">
        <v>1173</v>
      </c>
      <c r="E671" s="320">
        <v>42352824</v>
      </c>
      <c r="F671" s="320">
        <v>42352824</v>
      </c>
    </row>
    <row r="672" spans="1:6">
      <c r="A672" s="318" t="s">
        <v>249</v>
      </c>
      <c r="B672" s="319" t="s">
        <v>703</v>
      </c>
      <c r="C672" s="319" t="s">
        <v>133</v>
      </c>
      <c r="D672" s="319" t="s">
        <v>1148</v>
      </c>
      <c r="E672" s="320">
        <v>42352824</v>
      </c>
      <c r="F672" s="320">
        <v>42352824</v>
      </c>
    </row>
    <row r="673" spans="1:6" ht="25.5">
      <c r="A673" s="318" t="s">
        <v>0</v>
      </c>
      <c r="B673" s="319" t="s">
        <v>703</v>
      </c>
      <c r="C673" s="319" t="s">
        <v>133</v>
      </c>
      <c r="D673" s="319" t="s">
        <v>402</v>
      </c>
      <c r="E673" s="320">
        <v>42352824</v>
      </c>
      <c r="F673" s="320">
        <v>42352824</v>
      </c>
    </row>
    <row r="674" spans="1:6" ht="38.25">
      <c r="A674" s="318" t="s">
        <v>1319</v>
      </c>
      <c r="B674" s="319" t="s">
        <v>703</v>
      </c>
      <c r="C674" s="319" t="s">
        <v>1320</v>
      </c>
      <c r="D674" s="319" t="s">
        <v>1173</v>
      </c>
      <c r="E674" s="320">
        <v>3075703</v>
      </c>
      <c r="F674" s="320">
        <v>3075703</v>
      </c>
    </row>
    <row r="675" spans="1:6" ht="38.25">
      <c r="A675" s="318" t="s">
        <v>1196</v>
      </c>
      <c r="B675" s="319" t="s">
        <v>703</v>
      </c>
      <c r="C675" s="319" t="s">
        <v>1197</v>
      </c>
      <c r="D675" s="319" t="s">
        <v>1173</v>
      </c>
      <c r="E675" s="320">
        <v>3075703</v>
      </c>
      <c r="F675" s="320">
        <v>3075703</v>
      </c>
    </row>
    <row r="676" spans="1:6">
      <c r="A676" s="318" t="s">
        <v>249</v>
      </c>
      <c r="B676" s="319" t="s">
        <v>703</v>
      </c>
      <c r="C676" s="319" t="s">
        <v>1197</v>
      </c>
      <c r="D676" s="319" t="s">
        <v>1148</v>
      </c>
      <c r="E676" s="320">
        <v>3075703</v>
      </c>
      <c r="F676" s="320">
        <v>3075703</v>
      </c>
    </row>
    <row r="677" spans="1:6" ht="25.5">
      <c r="A677" s="318" t="s">
        <v>0</v>
      </c>
      <c r="B677" s="319" t="s">
        <v>703</v>
      </c>
      <c r="C677" s="319" t="s">
        <v>1197</v>
      </c>
      <c r="D677" s="319" t="s">
        <v>402</v>
      </c>
      <c r="E677" s="320">
        <v>3075703</v>
      </c>
      <c r="F677" s="320">
        <v>3075703</v>
      </c>
    </row>
    <row r="678" spans="1:6" ht="38.25">
      <c r="A678" s="318" t="s">
        <v>1327</v>
      </c>
      <c r="B678" s="319" t="s">
        <v>703</v>
      </c>
      <c r="C678" s="319" t="s">
        <v>1328</v>
      </c>
      <c r="D678" s="319" t="s">
        <v>1173</v>
      </c>
      <c r="E678" s="320">
        <v>36162465</v>
      </c>
      <c r="F678" s="320">
        <v>36162465</v>
      </c>
    </row>
    <row r="679" spans="1:6">
      <c r="A679" s="318" t="s">
        <v>1198</v>
      </c>
      <c r="B679" s="319" t="s">
        <v>703</v>
      </c>
      <c r="C679" s="319" t="s">
        <v>1199</v>
      </c>
      <c r="D679" s="319" t="s">
        <v>1173</v>
      </c>
      <c r="E679" s="320">
        <v>36162465</v>
      </c>
      <c r="F679" s="320">
        <v>36162465</v>
      </c>
    </row>
    <row r="680" spans="1:6">
      <c r="A680" s="318" t="s">
        <v>140</v>
      </c>
      <c r="B680" s="319" t="s">
        <v>703</v>
      </c>
      <c r="C680" s="319" t="s">
        <v>1199</v>
      </c>
      <c r="D680" s="319" t="s">
        <v>1142</v>
      </c>
      <c r="E680" s="320">
        <v>36162465</v>
      </c>
      <c r="F680" s="320">
        <v>36162465</v>
      </c>
    </row>
    <row r="681" spans="1:6">
      <c r="A681" s="318" t="s">
        <v>1077</v>
      </c>
      <c r="B681" s="319" t="s">
        <v>703</v>
      </c>
      <c r="C681" s="319" t="s">
        <v>1199</v>
      </c>
      <c r="D681" s="319" t="s">
        <v>1078</v>
      </c>
      <c r="E681" s="320">
        <v>36162465</v>
      </c>
      <c r="F681" s="320">
        <v>36162465</v>
      </c>
    </row>
    <row r="682" spans="1:6">
      <c r="A682" s="318" t="s">
        <v>1321</v>
      </c>
      <c r="B682" s="319" t="s">
        <v>703</v>
      </c>
      <c r="C682" s="319" t="s">
        <v>1322</v>
      </c>
      <c r="D682" s="319" t="s">
        <v>1173</v>
      </c>
      <c r="E682" s="320">
        <v>13500</v>
      </c>
      <c r="F682" s="320">
        <v>13500</v>
      </c>
    </row>
    <row r="683" spans="1:6">
      <c r="A683" s="318" t="s">
        <v>1201</v>
      </c>
      <c r="B683" s="319" t="s">
        <v>703</v>
      </c>
      <c r="C683" s="319" t="s">
        <v>1202</v>
      </c>
      <c r="D683" s="319" t="s">
        <v>1173</v>
      </c>
      <c r="E683" s="320">
        <v>13500</v>
      </c>
      <c r="F683" s="320">
        <v>13500</v>
      </c>
    </row>
    <row r="684" spans="1:6">
      <c r="A684" s="318" t="s">
        <v>249</v>
      </c>
      <c r="B684" s="319" t="s">
        <v>703</v>
      </c>
      <c r="C684" s="319" t="s">
        <v>1202</v>
      </c>
      <c r="D684" s="319" t="s">
        <v>1148</v>
      </c>
      <c r="E684" s="320">
        <v>13500</v>
      </c>
      <c r="F684" s="320">
        <v>13500</v>
      </c>
    </row>
    <row r="685" spans="1:6" ht="25.5">
      <c r="A685" s="318" t="s">
        <v>0</v>
      </c>
      <c r="B685" s="319" t="s">
        <v>703</v>
      </c>
      <c r="C685" s="319" t="s">
        <v>1202</v>
      </c>
      <c r="D685" s="319" t="s">
        <v>402</v>
      </c>
      <c r="E685" s="320">
        <v>13500</v>
      </c>
      <c r="F685" s="320">
        <v>13500</v>
      </c>
    </row>
    <row r="686" spans="1:6" ht="191.25">
      <c r="A686" s="318" t="s">
        <v>510</v>
      </c>
      <c r="B686" s="319" t="s">
        <v>704</v>
      </c>
      <c r="C686" s="319" t="s">
        <v>1173</v>
      </c>
      <c r="D686" s="319" t="s">
        <v>1173</v>
      </c>
      <c r="E686" s="320">
        <v>47065000</v>
      </c>
      <c r="F686" s="320">
        <v>47065000</v>
      </c>
    </row>
    <row r="687" spans="1:6" ht="76.5">
      <c r="A687" s="318" t="s">
        <v>1318</v>
      </c>
      <c r="B687" s="319" t="s">
        <v>704</v>
      </c>
      <c r="C687" s="319" t="s">
        <v>273</v>
      </c>
      <c r="D687" s="319" t="s">
        <v>1173</v>
      </c>
      <c r="E687" s="320">
        <v>37462600</v>
      </c>
      <c r="F687" s="320">
        <v>37462600</v>
      </c>
    </row>
    <row r="688" spans="1:6" ht="25.5">
      <c r="A688" s="318" t="s">
        <v>1190</v>
      </c>
      <c r="B688" s="319" t="s">
        <v>704</v>
      </c>
      <c r="C688" s="319" t="s">
        <v>133</v>
      </c>
      <c r="D688" s="319" t="s">
        <v>1173</v>
      </c>
      <c r="E688" s="320">
        <v>37462600</v>
      </c>
      <c r="F688" s="320">
        <v>37462600</v>
      </c>
    </row>
    <row r="689" spans="1:6">
      <c r="A689" s="318" t="s">
        <v>249</v>
      </c>
      <c r="B689" s="319" t="s">
        <v>704</v>
      </c>
      <c r="C689" s="319" t="s">
        <v>133</v>
      </c>
      <c r="D689" s="319" t="s">
        <v>1148</v>
      </c>
      <c r="E689" s="320">
        <v>37462600</v>
      </c>
      <c r="F689" s="320">
        <v>37462600</v>
      </c>
    </row>
    <row r="690" spans="1:6" ht="25.5">
      <c r="A690" s="318" t="s">
        <v>0</v>
      </c>
      <c r="B690" s="319" t="s">
        <v>704</v>
      </c>
      <c r="C690" s="319" t="s">
        <v>133</v>
      </c>
      <c r="D690" s="319" t="s">
        <v>402</v>
      </c>
      <c r="E690" s="320">
        <v>37462600</v>
      </c>
      <c r="F690" s="320">
        <v>37462600</v>
      </c>
    </row>
    <row r="691" spans="1:6" ht="38.25">
      <c r="A691" s="318" t="s">
        <v>1327</v>
      </c>
      <c r="B691" s="319" t="s">
        <v>704</v>
      </c>
      <c r="C691" s="319" t="s">
        <v>1328</v>
      </c>
      <c r="D691" s="319" t="s">
        <v>1173</v>
      </c>
      <c r="E691" s="320">
        <v>9602400</v>
      </c>
      <c r="F691" s="320">
        <v>9602400</v>
      </c>
    </row>
    <row r="692" spans="1:6">
      <c r="A692" s="318" t="s">
        <v>1198</v>
      </c>
      <c r="B692" s="319" t="s">
        <v>704</v>
      </c>
      <c r="C692" s="319" t="s">
        <v>1199</v>
      </c>
      <c r="D692" s="319" t="s">
        <v>1173</v>
      </c>
      <c r="E692" s="320">
        <v>9602400</v>
      </c>
      <c r="F692" s="320">
        <v>9602400</v>
      </c>
    </row>
    <row r="693" spans="1:6">
      <c r="A693" s="318" t="s">
        <v>140</v>
      </c>
      <c r="B693" s="319" t="s">
        <v>704</v>
      </c>
      <c r="C693" s="319" t="s">
        <v>1199</v>
      </c>
      <c r="D693" s="319" t="s">
        <v>1142</v>
      </c>
      <c r="E693" s="320">
        <v>9602400</v>
      </c>
      <c r="F693" s="320">
        <v>9602400</v>
      </c>
    </row>
    <row r="694" spans="1:6">
      <c r="A694" s="318" t="s">
        <v>1077</v>
      </c>
      <c r="B694" s="319" t="s">
        <v>704</v>
      </c>
      <c r="C694" s="319" t="s">
        <v>1199</v>
      </c>
      <c r="D694" s="319" t="s">
        <v>1078</v>
      </c>
      <c r="E694" s="320">
        <v>9602400</v>
      </c>
      <c r="F694" s="320">
        <v>9602400</v>
      </c>
    </row>
    <row r="695" spans="1:6" ht="153">
      <c r="A695" s="318" t="s">
        <v>566</v>
      </c>
      <c r="B695" s="319" t="s">
        <v>705</v>
      </c>
      <c r="C695" s="319" t="s">
        <v>1173</v>
      </c>
      <c r="D695" s="319" t="s">
        <v>1173</v>
      </c>
      <c r="E695" s="320">
        <v>271390</v>
      </c>
      <c r="F695" s="320">
        <v>271390</v>
      </c>
    </row>
    <row r="696" spans="1:6" ht="38.25">
      <c r="A696" s="318" t="s">
        <v>1327</v>
      </c>
      <c r="B696" s="319" t="s">
        <v>705</v>
      </c>
      <c r="C696" s="319" t="s">
        <v>1328</v>
      </c>
      <c r="D696" s="319" t="s">
        <v>1173</v>
      </c>
      <c r="E696" s="320">
        <v>271390</v>
      </c>
      <c r="F696" s="320">
        <v>271390</v>
      </c>
    </row>
    <row r="697" spans="1:6">
      <c r="A697" s="318" t="s">
        <v>1198</v>
      </c>
      <c r="B697" s="319" t="s">
        <v>705</v>
      </c>
      <c r="C697" s="319" t="s">
        <v>1199</v>
      </c>
      <c r="D697" s="319" t="s">
        <v>1173</v>
      </c>
      <c r="E697" s="320">
        <v>271390</v>
      </c>
      <c r="F697" s="320">
        <v>271390</v>
      </c>
    </row>
    <row r="698" spans="1:6">
      <c r="A698" s="318" t="s">
        <v>140</v>
      </c>
      <c r="B698" s="319" t="s">
        <v>705</v>
      </c>
      <c r="C698" s="319" t="s">
        <v>1199</v>
      </c>
      <c r="D698" s="319" t="s">
        <v>1142</v>
      </c>
      <c r="E698" s="320">
        <v>271390</v>
      </c>
      <c r="F698" s="320">
        <v>271390</v>
      </c>
    </row>
    <row r="699" spans="1:6">
      <c r="A699" s="318" t="s">
        <v>1077</v>
      </c>
      <c r="B699" s="319" t="s">
        <v>705</v>
      </c>
      <c r="C699" s="319" t="s">
        <v>1199</v>
      </c>
      <c r="D699" s="319" t="s">
        <v>1078</v>
      </c>
      <c r="E699" s="320">
        <v>271390</v>
      </c>
      <c r="F699" s="320">
        <v>271390</v>
      </c>
    </row>
    <row r="700" spans="1:6" ht="127.5">
      <c r="A700" s="318" t="s">
        <v>511</v>
      </c>
      <c r="B700" s="319" t="s">
        <v>706</v>
      </c>
      <c r="C700" s="319" t="s">
        <v>1173</v>
      </c>
      <c r="D700" s="319" t="s">
        <v>1173</v>
      </c>
      <c r="E700" s="320">
        <v>1080000</v>
      </c>
      <c r="F700" s="320">
        <v>1080000</v>
      </c>
    </row>
    <row r="701" spans="1:6" ht="76.5">
      <c r="A701" s="318" t="s">
        <v>1318</v>
      </c>
      <c r="B701" s="319" t="s">
        <v>706</v>
      </c>
      <c r="C701" s="319" t="s">
        <v>273</v>
      </c>
      <c r="D701" s="319" t="s">
        <v>1173</v>
      </c>
      <c r="E701" s="320">
        <v>750000</v>
      </c>
      <c r="F701" s="320">
        <v>750000</v>
      </c>
    </row>
    <row r="702" spans="1:6" ht="25.5">
      <c r="A702" s="318" t="s">
        <v>1190</v>
      </c>
      <c r="B702" s="319" t="s">
        <v>706</v>
      </c>
      <c r="C702" s="319" t="s">
        <v>133</v>
      </c>
      <c r="D702" s="319" t="s">
        <v>1173</v>
      </c>
      <c r="E702" s="320">
        <v>750000</v>
      </c>
      <c r="F702" s="320">
        <v>750000</v>
      </c>
    </row>
    <row r="703" spans="1:6">
      <c r="A703" s="318" t="s">
        <v>249</v>
      </c>
      <c r="B703" s="319" t="s">
        <v>706</v>
      </c>
      <c r="C703" s="319" t="s">
        <v>133</v>
      </c>
      <c r="D703" s="319" t="s">
        <v>1148</v>
      </c>
      <c r="E703" s="320">
        <v>750000</v>
      </c>
      <c r="F703" s="320">
        <v>750000</v>
      </c>
    </row>
    <row r="704" spans="1:6" ht="25.5">
      <c r="A704" s="318" t="s">
        <v>0</v>
      </c>
      <c r="B704" s="319" t="s">
        <v>706</v>
      </c>
      <c r="C704" s="319" t="s">
        <v>133</v>
      </c>
      <c r="D704" s="319" t="s">
        <v>402</v>
      </c>
      <c r="E704" s="320">
        <v>750000</v>
      </c>
      <c r="F704" s="320">
        <v>750000</v>
      </c>
    </row>
    <row r="705" spans="1:6" ht="38.25">
      <c r="A705" s="318" t="s">
        <v>1327</v>
      </c>
      <c r="B705" s="319" t="s">
        <v>706</v>
      </c>
      <c r="C705" s="319" t="s">
        <v>1328</v>
      </c>
      <c r="D705" s="319" t="s">
        <v>1173</v>
      </c>
      <c r="E705" s="320">
        <v>330000</v>
      </c>
      <c r="F705" s="320">
        <v>330000</v>
      </c>
    </row>
    <row r="706" spans="1:6">
      <c r="A706" s="318" t="s">
        <v>1198</v>
      </c>
      <c r="B706" s="319" t="s">
        <v>706</v>
      </c>
      <c r="C706" s="319" t="s">
        <v>1199</v>
      </c>
      <c r="D706" s="319" t="s">
        <v>1173</v>
      </c>
      <c r="E706" s="320">
        <v>330000</v>
      </c>
      <c r="F706" s="320">
        <v>330000</v>
      </c>
    </row>
    <row r="707" spans="1:6">
      <c r="A707" s="318" t="s">
        <v>140</v>
      </c>
      <c r="B707" s="319" t="s">
        <v>706</v>
      </c>
      <c r="C707" s="319" t="s">
        <v>1199</v>
      </c>
      <c r="D707" s="319" t="s">
        <v>1142</v>
      </c>
      <c r="E707" s="320">
        <v>330000</v>
      </c>
      <c r="F707" s="320">
        <v>330000</v>
      </c>
    </row>
    <row r="708" spans="1:6">
      <c r="A708" s="318" t="s">
        <v>1077</v>
      </c>
      <c r="B708" s="319" t="s">
        <v>706</v>
      </c>
      <c r="C708" s="319" t="s">
        <v>1199</v>
      </c>
      <c r="D708" s="319" t="s">
        <v>1078</v>
      </c>
      <c r="E708" s="320">
        <v>330000</v>
      </c>
      <c r="F708" s="320">
        <v>330000</v>
      </c>
    </row>
    <row r="709" spans="1:6" ht="140.25">
      <c r="A709" s="318" t="s">
        <v>567</v>
      </c>
      <c r="B709" s="319" t="s">
        <v>707</v>
      </c>
      <c r="C709" s="319" t="s">
        <v>1173</v>
      </c>
      <c r="D709" s="319" t="s">
        <v>1173</v>
      </c>
      <c r="E709" s="320">
        <v>4482000</v>
      </c>
      <c r="F709" s="320">
        <v>4482000</v>
      </c>
    </row>
    <row r="710" spans="1:6" ht="38.25">
      <c r="A710" s="318" t="s">
        <v>1319</v>
      </c>
      <c r="B710" s="319" t="s">
        <v>707</v>
      </c>
      <c r="C710" s="319" t="s">
        <v>1320</v>
      </c>
      <c r="D710" s="319" t="s">
        <v>1173</v>
      </c>
      <c r="E710" s="320">
        <v>612000</v>
      </c>
      <c r="F710" s="320">
        <v>612000</v>
      </c>
    </row>
    <row r="711" spans="1:6" ht="38.25">
      <c r="A711" s="318" t="s">
        <v>1196</v>
      </c>
      <c r="B711" s="319" t="s">
        <v>707</v>
      </c>
      <c r="C711" s="319" t="s">
        <v>1197</v>
      </c>
      <c r="D711" s="319" t="s">
        <v>1173</v>
      </c>
      <c r="E711" s="320">
        <v>612000</v>
      </c>
      <c r="F711" s="320">
        <v>612000</v>
      </c>
    </row>
    <row r="712" spans="1:6">
      <c r="A712" s="318" t="s">
        <v>249</v>
      </c>
      <c r="B712" s="319" t="s">
        <v>707</v>
      </c>
      <c r="C712" s="319" t="s">
        <v>1197</v>
      </c>
      <c r="D712" s="319" t="s">
        <v>1148</v>
      </c>
      <c r="E712" s="320">
        <v>612000</v>
      </c>
      <c r="F712" s="320">
        <v>612000</v>
      </c>
    </row>
    <row r="713" spans="1:6" ht="25.5">
      <c r="A713" s="318" t="s">
        <v>0</v>
      </c>
      <c r="B713" s="319" t="s">
        <v>707</v>
      </c>
      <c r="C713" s="319" t="s">
        <v>1197</v>
      </c>
      <c r="D713" s="319" t="s">
        <v>402</v>
      </c>
      <c r="E713" s="320">
        <v>612000</v>
      </c>
      <c r="F713" s="320">
        <v>612000</v>
      </c>
    </row>
    <row r="714" spans="1:6" ht="38.25">
      <c r="A714" s="318" t="s">
        <v>1327</v>
      </c>
      <c r="B714" s="319" t="s">
        <v>707</v>
      </c>
      <c r="C714" s="319" t="s">
        <v>1328</v>
      </c>
      <c r="D714" s="319" t="s">
        <v>1173</v>
      </c>
      <c r="E714" s="320">
        <v>3870000</v>
      </c>
      <c r="F714" s="320">
        <v>3870000</v>
      </c>
    </row>
    <row r="715" spans="1:6">
      <c r="A715" s="318" t="s">
        <v>1198</v>
      </c>
      <c r="B715" s="319" t="s">
        <v>707</v>
      </c>
      <c r="C715" s="319" t="s">
        <v>1199</v>
      </c>
      <c r="D715" s="319" t="s">
        <v>1173</v>
      </c>
      <c r="E715" s="320">
        <v>3870000</v>
      </c>
      <c r="F715" s="320">
        <v>3870000</v>
      </c>
    </row>
    <row r="716" spans="1:6">
      <c r="A716" s="318" t="s">
        <v>140</v>
      </c>
      <c r="B716" s="319" t="s">
        <v>707</v>
      </c>
      <c r="C716" s="319" t="s">
        <v>1199</v>
      </c>
      <c r="D716" s="319" t="s">
        <v>1142</v>
      </c>
      <c r="E716" s="320">
        <v>3870000</v>
      </c>
      <c r="F716" s="320">
        <v>3870000</v>
      </c>
    </row>
    <row r="717" spans="1:6">
      <c r="A717" s="318" t="s">
        <v>1077</v>
      </c>
      <c r="B717" s="319" t="s">
        <v>707</v>
      </c>
      <c r="C717" s="319" t="s">
        <v>1199</v>
      </c>
      <c r="D717" s="319" t="s">
        <v>1078</v>
      </c>
      <c r="E717" s="320">
        <v>3870000</v>
      </c>
      <c r="F717" s="320">
        <v>3870000</v>
      </c>
    </row>
    <row r="718" spans="1:6" ht="102">
      <c r="A718" s="318" t="s">
        <v>1627</v>
      </c>
      <c r="B718" s="319" t="s">
        <v>1628</v>
      </c>
      <c r="C718" s="319" t="s">
        <v>1173</v>
      </c>
      <c r="D718" s="319" t="s">
        <v>1173</v>
      </c>
      <c r="E718" s="320">
        <v>77500</v>
      </c>
      <c r="F718" s="320">
        <v>77500</v>
      </c>
    </row>
    <row r="719" spans="1:6" ht="38.25">
      <c r="A719" s="318" t="s">
        <v>1319</v>
      </c>
      <c r="B719" s="319" t="s">
        <v>1628</v>
      </c>
      <c r="C719" s="319" t="s">
        <v>1320</v>
      </c>
      <c r="D719" s="319" t="s">
        <v>1173</v>
      </c>
      <c r="E719" s="320">
        <v>23500</v>
      </c>
      <c r="F719" s="320">
        <v>23500</v>
      </c>
    </row>
    <row r="720" spans="1:6" ht="38.25">
      <c r="A720" s="318" t="s">
        <v>1196</v>
      </c>
      <c r="B720" s="319" t="s">
        <v>1628</v>
      </c>
      <c r="C720" s="319" t="s">
        <v>1197</v>
      </c>
      <c r="D720" s="319" t="s">
        <v>1173</v>
      </c>
      <c r="E720" s="320">
        <v>23500</v>
      </c>
      <c r="F720" s="320">
        <v>23500</v>
      </c>
    </row>
    <row r="721" spans="1:6">
      <c r="A721" s="318" t="s">
        <v>249</v>
      </c>
      <c r="B721" s="319" t="s">
        <v>1628</v>
      </c>
      <c r="C721" s="319" t="s">
        <v>1197</v>
      </c>
      <c r="D721" s="319" t="s">
        <v>1148</v>
      </c>
      <c r="E721" s="320">
        <v>23500</v>
      </c>
      <c r="F721" s="320">
        <v>23500</v>
      </c>
    </row>
    <row r="722" spans="1:6" ht="25.5">
      <c r="A722" s="318" t="s">
        <v>0</v>
      </c>
      <c r="B722" s="319" t="s">
        <v>1628</v>
      </c>
      <c r="C722" s="319" t="s">
        <v>1197</v>
      </c>
      <c r="D722" s="319" t="s">
        <v>402</v>
      </c>
      <c r="E722" s="320">
        <v>23500</v>
      </c>
      <c r="F722" s="320">
        <v>23500</v>
      </c>
    </row>
    <row r="723" spans="1:6" ht="38.25">
      <c r="A723" s="318" t="s">
        <v>1327</v>
      </c>
      <c r="B723" s="319" t="s">
        <v>1628</v>
      </c>
      <c r="C723" s="319" t="s">
        <v>1328</v>
      </c>
      <c r="D723" s="319" t="s">
        <v>1173</v>
      </c>
      <c r="E723" s="320">
        <v>54000</v>
      </c>
      <c r="F723" s="320">
        <v>54000</v>
      </c>
    </row>
    <row r="724" spans="1:6">
      <c r="A724" s="318" t="s">
        <v>1198</v>
      </c>
      <c r="B724" s="319" t="s">
        <v>1628</v>
      </c>
      <c r="C724" s="319" t="s">
        <v>1199</v>
      </c>
      <c r="D724" s="319" t="s">
        <v>1173</v>
      </c>
      <c r="E724" s="320">
        <v>54000</v>
      </c>
      <c r="F724" s="320">
        <v>54000</v>
      </c>
    </row>
    <row r="725" spans="1:6">
      <c r="A725" s="318" t="s">
        <v>140</v>
      </c>
      <c r="B725" s="319" t="s">
        <v>1628</v>
      </c>
      <c r="C725" s="319" t="s">
        <v>1199</v>
      </c>
      <c r="D725" s="319" t="s">
        <v>1142</v>
      </c>
      <c r="E725" s="320">
        <v>54000</v>
      </c>
      <c r="F725" s="320">
        <v>54000</v>
      </c>
    </row>
    <row r="726" spans="1:6">
      <c r="A726" s="318" t="s">
        <v>1077</v>
      </c>
      <c r="B726" s="319" t="s">
        <v>1628</v>
      </c>
      <c r="C726" s="319" t="s">
        <v>1199</v>
      </c>
      <c r="D726" s="319" t="s">
        <v>1078</v>
      </c>
      <c r="E726" s="320">
        <v>54000</v>
      </c>
      <c r="F726" s="320">
        <v>54000</v>
      </c>
    </row>
    <row r="727" spans="1:6" ht="89.25">
      <c r="A727" s="318" t="s">
        <v>1777</v>
      </c>
      <c r="B727" s="319" t="s">
        <v>1778</v>
      </c>
      <c r="C727" s="319" t="s">
        <v>1173</v>
      </c>
      <c r="D727" s="319" t="s">
        <v>1173</v>
      </c>
      <c r="E727" s="320">
        <v>200000</v>
      </c>
      <c r="F727" s="320">
        <v>200000</v>
      </c>
    </row>
    <row r="728" spans="1:6" ht="38.25">
      <c r="A728" s="318" t="s">
        <v>1319</v>
      </c>
      <c r="B728" s="319" t="s">
        <v>1778</v>
      </c>
      <c r="C728" s="319" t="s">
        <v>1320</v>
      </c>
      <c r="D728" s="319" t="s">
        <v>1173</v>
      </c>
      <c r="E728" s="320">
        <v>200000</v>
      </c>
      <c r="F728" s="320">
        <v>200000</v>
      </c>
    </row>
    <row r="729" spans="1:6" ht="38.25">
      <c r="A729" s="318" t="s">
        <v>1196</v>
      </c>
      <c r="B729" s="319" t="s">
        <v>1778</v>
      </c>
      <c r="C729" s="319" t="s">
        <v>1197</v>
      </c>
      <c r="D729" s="319" t="s">
        <v>1173</v>
      </c>
      <c r="E729" s="320">
        <v>200000</v>
      </c>
      <c r="F729" s="320">
        <v>200000</v>
      </c>
    </row>
    <row r="730" spans="1:6">
      <c r="A730" s="318" t="s">
        <v>249</v>
      </c>
      <c r="B730" s="319" t="s">
        <v>1778</v>
      </c>
      <c r="C730" s="319" t="s">
        <v>1197</v>
      </c>
      <c r="D730" s="319" t="s">
        <v>1148</v>
      </c>
      <c r="E730" s="320">
        <v>200000</v>
      </c>
      <c r="F730" s="320">
        <v>200000</v>
      </c>
    </row>
    <row r="731" spans="1:6" ht="25.5">
      <c r="A731" s="318" t="s">
        <v>0</v>
      </c>
      <c r="B731" s="319" t="s">
        <v>1778</v>
      </c>
      <c r="C731" s="319" t="s">
        <v>1197</v>
      </c>
      <c r="D731" s="319" t="s">
        <v>402</v>
      </c>
      <c r="E731" s="320">
        <v>200000</v>
      </c>
      <c r="F731" s="320">
        <v>200000</v>
      </c>
    </row>
    <row r="732" spans="1:6" ht="127.5">
      <c r="A732" s="318" t="s">
        <v>956</v>
      </c>
      <c r="B732" s="319" t="s">
        <v>957</v>
      </c>
      <c r="C732" s="319" t="s">
        <v>1173</v>
      </c>
      <c r="D732" s="319" t="s">
        <v>1173</v>
      </c>
      <c r="E732" s="320">
        <v>581000</v>
      </c>
      <c r="F732" s="320">
        <v>581000</v>
      </c>
    </row>
    <row r="733" spans="1:6" ht="38.25">
      <c r="A733" s="318" t="s">
        <v>1319</v>
      </c>
      <c r="B733" s="319" t="s">
        <v>957</v>
      </c>
      <c r="C733" s="319" t="s">
        <v>1320</v>
      </c>
      <c r="D733" s="319" t="s">
        <v>1173</v>
      </c>
      <c r="E733" s="320">
        <v>200000</v>
      </c>
      <c r="F733" s="320">
        <v>200000</v>
      </c>
    </row>
    <row r="734" spans="1:6" ht="38.25">
      <c r="A734" s="318" t="s">
        <v>1196</v>
      </c>
      <c r="B734" s="319" t="s">
        <v>957</v>
      </c>
      <c r="C734" s="319" t="s">
        <v>1197</v>
      </c>
      <c r="D734" s="319" t="s">
        <v>1173</v>
      </c>
      <c r="E734" s="320">
        <v>200000</v>
      </c>
      <c r="F734" s="320">
        <v>200000</v>
      </c>
    </row>
    <row r="735" spans="1:6">
      <c r="A735" s="318" t="s">
        <v>249</v>
      </c>
      <c r="B735" s="319" t="s">
        <v>957</v>
      </c>
      <c r="C735" s="319" t="s">
        <v>1197</v>
      </c>
      <c r="D735" s="319" t="s">
        <v>1148</v>
      </c>
      <c r="E735" s="320">
        <v>200000</v>
      </c>
      <c r="F735" s="320">
        <v>200000</v>
      </c>
    </row>
    <row r="736" spans="1:6" ht="25.5">
      <c r="A736" s="318" t="s">
        <v>0</v>
      </c>
      <c r="B736" s="319" t="s">
        <v>957</v>
      </c>
      <c r="C736" s="319" t="s">
        <v>1197</v>
      </c>
      <c r="D736" s="319" t="s">
        <v>402</v>
      </c>
      <c r="E736" s="320">
        <v>200000</v>
      </c>
      <c r="F736" s="320">
        <v>200000</v>
      </c>
    </row>
    <row r="737" spans="1:6" ht="38.25">
      <c r="A737" s="318" t="s">
        <v>1327</v>
      </c>
      <c r="B737" s="319" t="s">
        <v>957</v>
      </c>
      <c r="C737" s="319" t="s">
        <v>1328</v>
      </c>
      <c r="D737" s="319" t="s">
        <v>1173</v>
      </c>
      <c r="E737" s="320">
        <v>381000</v>
      </c>
      <c r="F737" s="320">
        <v>381000</v>
      </c>
    </row>
    <row r="738" spans="1:6">
      <c r="A738" s="318" t="s">
        <v>1198</v>
      </c>
      <c r="B738" s="319" t="s">
        <v>957</v>
      </c>
      <c r="C738" s="319" t="s">
        <v>1199</v>
      </c>
      <c r="D738" s="319" t="s">
        <v>1173</v>
      </c>
      <c r="E738" s="320">
        <v>381000</v>
      </c>
      <c r="F738" s="320">
        <v>381000</v>
      </c>
    </row>
    <row r="739" spans="1:6">
      <c r="A739" s="318" t="s">
        <v>140</v>
      </c>
      <c r="B739" s="319" t="s">
        <v>957</v>
      </c>
      <c r="C739" s="319" t="s">
        <v>1199</v>
      </c>
      <c r="D739" s="319" t="s">
        <v>1142</v>
      </c>
      <c r="E739" s="320">
        <v>381000</v>
      </c>
      <c r="F739" s="320">
        <v>381000</v>
      </c>
    </row>
    <row r="740" spans="1:6">
      <c r="A740" s="318" t="s">
        <v>1077</v>
      </c>
      <c r="B740" s="319" t="s">
        <v>957</v>
      </c>
      <c r="C740" s="319" t="s">
        <v>1199</v>
      </c>
      <c r="D740" s="319" t="s">
        <v>1078</v>
      </c>
      <c r="E740" s="320">
        <v>381000</v>
      </c>
      <c r="F740" s="320">
        <v>381000</v>
      </c>
    </row>
    <row r="741" spans="1:6" ht="25.5">
      <c r="A741" s="318" t="s">
        <v>466</v>
      </c>
      <c r="B741" s="319" t="s">
        <v>985</v>
      </c>
      <c r="C741" s="319" t="s">
        <v>1173</v>
      </c>
      <c r="D741" s="319" t="s">
        <v>1173</v>
      </c>
      <c r="E741" s="320">
        <v>16567164.34</v>
      </c>
      <c r="F741" s="320">
        <v>16644105.25</v>
      </c>
    </row>
    <row r="742" spans="1:6" ht="38.25">
      <c r="A742" s="318" t="s">
        <v>467</v>
      </c>
      <c r="B742" s="319" t="s">
        <v>986</v>
      </c>
      <c r="C742" s="319" t="s">
        <v>1173</v>
      </c>
      <c r="D742" s="319" t="s">
        <v>1173</v>
      </c>
      <c r="E742" s="320">
        <v>3864670</v>
      </c>
      <c r="F742" s="320">
        <v>3864670</v>
      </c>
    </row>
    <row r="743" spans="1:6" ht="89.25">
      <c r="A743" s="318" t="s">
        <v>1952</v>
      </c>
      <c r="B743" s="319" t="s">
        <v>1953</v>
      </c>
      <c r="C743" s="319" t="s">
        <v>1173</v>
      </c>
      <c r="D743" s="319" t="s">
        <v>1173</v>
      </c>
      <c r="E743" s="320">
        <v>511750</v>
      </c>
      <c r="F743" s="320">
        <v>511750</v>
      </c>
    </row>
    <row r="744" spans="1:6" ht="38.25">
      <c r="A744" s="318" t="s">
        <v>1327</v>
      </c>
      <c r="B744" s="319" t="s">
        <v>1953</v>
      </c>
      <c r="C744" s="319" t="s">
        <v>1328</v>
      </c>
      <c r="D744" s="319" t="s">
        <v>1173</v>
      </c>
      <c r="E744" s="320">
        <v>511750</v>
      </c>
      <c r="F744" s="320">
        <v>511750</v>
      </c>
    </row>
    <row r="745" spans="1:6">
      <c r="A745" s="318" t="s">
        <v>1198</v>
      </c>
      <c r="B745" s="319" t="s">
        <v>1953</v>
      </c>
      <c r="C745" s="319" t="s">
        <v>1199</v>
      </c>
      <c r="D745" s="319" t="s">
        <v>1173</v>
      </c>
      <c r="E745" s="320">
        <v>511750</v>
      </c>
      <c r="F745" s="320">
        <v>511750</v>
      </c>
    </row>
    <row r="746" spans="1:6">
      <c r="A746" s="318" t="s">
        <v>140</v>
      </c>
      <c r="B746" s="319" t="s">
        <v>1953</v>
      </c>
      <c r="C746" s="319" t="s">
        <v>1199</v>
      </c>
      <c r="D746" s="319" t="s">
        <v>1142</v>
      </c>
      <c r="E746" s="320">
        <v>511750</v>
      </c>
      <c r="F746" s="320">
        <v>511750</v>
      </c>
    </row>
    <row r="747" spans="1:6">
      <c r="A747" s="318" t="s">
        <v>1075</v>
      </c>
      <c r="B747" s="319" t="s">
        <v>1953</v>
      </c>
      <c r="C747" s="319" t="s">
        <v>1199</v>
      </c>
      <c r="D747" s="319" t="s">
        <v>365</v>
      </c>
      <c r="E747" s="320">
        <v>511750</v>
      </c>
      <c r="F747" s="320">
        <v>511750</v>
      </c>
    </row>
    <row r="748" spans="1:6" ht="76.5">
      <c r="A748" s="318" t="s">
        <v>1515</v>
      </c>
      <c r="B748" s="319" t="s">
        <v>682</v>
      </c>
      <c r="C748" s="319" t="s">
        <v>1173</v>
      </c>
      <c r="D748" s="319" t="s">
        <v>1173</v>
      </c>
      <c r="E748" s="320">
        <v>852920</v>
      </c>
      <c r="F748" s="320">
        <v>852920</v>
      </c>
    </row>
    <row r="749" spans="1:6" ht="38.25">
      <c r="A749" s="318" t="s">
        <v>1327</v>
      </c>
      <c r="B749" s="319" t="s">
        <v>682</v>
      </c>
      <c r="C749" s="319" t="s">
        <v>1328</v>
      </c>
      <c r="D749" s="319" t="s">
        <v>1173</v>
      </c>
      <c r="E749" s="320">
        <v>852920</v>
      </c>
      <c r="F749" s="320">
        <v>852920</v>
      </c>
    </row>
    <row r="750" spans="1:6">
      <c r="A750" s="318" t="s">
        <v>1198</v>
      </c>
      <c r="B750" s="319" t="s">
        <v>682</v>
      </c>
      <c r="C750" s="319" t="s">
        <v>1199</v>
      </c>
      <c r="D750" s="319" t="s">
        <v>1173</v>
      </c>
      <c r="E750" s="320">
        <v>852920</v>
      </c>
      <c r="F750" s="320">
        <v>852920</v>
      </c>
    </row>
    <row r="751" spans="1:6">
      <c r="A751" s="318" t="s">
        <v>140</v>
      </c>
      <c r="B751" s="319" t="s">
        <v>682</v>
      </c>
      <c r="C751" s="319" t="s">
        <v>1199</v>
      </c>
      <c r="D751" s="319" t="s">
        <v>1142</v>
      </c>
      <c r="E751" s="320">
        <v>852920</v>
      </c>
      <c r="F751" s="320">
        <v>852920</v>
      </c>
    </row>
    <row r="752" spans="1:6">
      <c r="A752" s="318" t="s">
        <v>1075</v>
      </c>
      <c r="B752" s="319" t="s">
        <v>682</v>
      </c>
      <c r="C752" s="319" t="s">
        <v>1199</v>
      </c>
      <c r="D752" s="319" t="s">
        <v>365</v>
      </c>
      <c r="E752" s="320">
        <v>852920</v>
      </c>
      <c r="F752" s="320">
        <v>852920</v>
      </c>
    </row>
    <row r="753" spans="1:6" ht="153">
      <c r="A753" s="318" t="s">
        <v>1482</v>
      </c>
      <c r="B753" s="319" t="s">
        <v>799</v>
      </c>
      <c r="C753" s="319" t="s">
        <v>1173</v>
      </c>
      <c r="D753" s="319" t="s">
        <v>1173</v>
      </c>
      <c r="E753" s="320">
        <v>2500000</v>
      </c>
      <c r="F753" s="320">
        <v>2500000</v>
      </c>
    </row>
    <row r="754" spans="1:6">
      <c r="A754" s="318" t="s">
        <v>1329</v>
      </c>
      <c r="B754" s="319" t="s">
        <v>799</v>
      </c>
      <c r="C754" s="319" t="s">
        <v>1330</v>
      </c>
      <c r="D754" s="319" t="s">
        <v>1173</v>
      </c>
      <c r="E754" s="320">
        <v>2500000</v>
      </c>
      <c r="F754" s="320">
        <v>2500000</v>
      </c>
    </row>
    <row r="755" spans="1:6">
      <c r="A755" s="318" t="s">
        <v>68</v>
      </c>
      <c r="B755" s="319" t="s">
        <v>799</v>
      </c>
      <c r="C755" s="319" t="s">
        <v>430</v>
      </c>
      <c r="D755" s="319" t="s">
        <v>1173</v>
      </c>
      <c r="E755" s="320">
        <v>2500000</v>
      </c>
      <c r="F755" s="320">
        <v>2500000</v>
      </c>
    </row>
    <row r="756" spans="1:6">
      <c r="A756" s="318" t="s">
        <v>140</v>
      </c>
      <c r="B756" s="319" t="s">
        <v>799</v>
      </c>
      <c r="C756" s="319" t="s">
        <v>430</v>
      </c>
      <c r="D756" s="319" t="s">
        <v>1142</v>
      </c>
      <c r="E756" s="320">
        <v>2500000</v>
      </c>
      <c r="F756" s="320">
        <v>2500000</v>
      </c>
    </row>
    <row r="757" spans="1:6">
      <c r="A757" s="318" t="s">
        <v>1075</v>
      </c>
      <c r="B757" s="319" t="s">
        <v>799</v>
      </c>
      <c r="C757" s="319" t="s">
        <v>430</v>
      </c>
      <c r="D757" s="319" t="s">
        <v>365</v>
      </c>
      <c r="E757" s="320">
        <v>2500000</v>
      </c>
      <c r="F757" s="320">
        <v>2500000</v>
      </c>
    </row>
    <row r="758" spans="1:6" ht="38.25">
      <c r="A758" s="318" t="s">
        <v>469</v>
      </c>
      <c r="B758" s="319" t="s">
        <v>1954</v>
      </c>
      <c r="C758" s="319" t="s">
        <v>1173</v>
      </c>
      <c r="D758" s="319" t="s">
        <v>1173</v>
      </c>
      <c r="E758" s="320">
        <v>225100</v>
      </c>
      <c r="F758" s="320">
        <v>225100</v>
      </c>
    </row>
    <row r="759" spans="1:6" ht="63.75">
      <c r="A759" s="318" t="s">
        <v>369</v>
      </c>
      <c r="B759" s="319" t="s">
        <v>683</v>
      </c>
      <c r="C759" s="319" t="s">
        <v>1173</v>
      </c>
      <c r="D759" s="319" t="s">
        <v>1173</v>
      </c>
      <c r="E759" s="320">
        <v>205100</v>
      </c>
      <c r="F759" s="320">
        <v>205100</v>
      </c>
    </row>
    <row r="760" spans="1:6" ht="38.25">
      <c r="A760" s="318" t="s">
        <v>1327</v>
      </c>
      <c r="B760" s="319" t="s">
        <v>683</v>
      </c>
      <c r="C760" s="319" t="s">
        <v>1328</v>
      </c>
      <c r="D760" s="319" t="s">
        <v>1173</v>
      </c>
      <c r="E760" s="320">
        <v>205100</v>
      </c>
      <c r="F760" s="320">
        <v>205100</v>
      </c>
    </row>
    <row r="761" spans="1:6">
      <c r="A761" s="318" t="s">
        <v>1198</v>
      </c>
      <c r="B761" s="319" t="s">
        <v>683</v>
      </c>
      <c r="C761" s="319" t="s">
        <v>1199</v>
      </c>
      <c r="D761" s="319" t="s">
        <v>1173</v>
      </c>
      <c r="E761" s="320">
        <v>205100</v>
      </c>
      <c r="F761" s="320">
        <v>205100</v>
      </c>
    </row>
    <row r="762" spans="1:6">
      <c r="A762" s="318" t="s">
        <v>140</v>
      </c>
      <c r="B762" s="319" t="s">
        <v>683</v>
      </c>
      <c r="C762" s="319" t="s">
        <v>1199</v>
      </c>
      <c r="D762" s="319" t="s">
        <v>1142</v>
      </c>
      <c r="E762" s="320">
        <v>205100</v>
      </c>
      <c r="F762" s="320">
        <v>205100</v>
      </c>
    </row>
    <row r="763" spans="1:6">
      <c r="A763" s="318" t="s">
        <v>1075</v>
      </c>
      <c r="B763" s="319" t="s">
        <v>683</v>
      </c>
      <c r="C763" s="319" t="s">
        <v>1199</v>
      </c>
      <c r="D763" s="319" t="s">
        <v>365</v>
      </c>
      <c r="E763" s="320">
        <v>205100</v>
      </c>
      <c r="F763" s="320">
        <v>205100</v>
      </c>
    </row>
    <row r="764" spans="1:6" ht="102">
      <c r="A764" s="318" t="s">
        <v>1517</v>
      </c>
      <c r="B764" s="319" t="s">
        <v>1504</v>
      </c>
      <c r="C764" s="319" t="s">
        <v>1173</v>
      </c>
      <c r="D764" s="319" t="s">
        <v>1173</v>
      </c>
      <c r="E764" s="320">
        <v>20000</v>
      </c>
      <c r="F764" s="320">
        <v>20000</v>
      </c>
    </row>
    <row r="765" spans="1:6" ht="38.25">
      <c r="A765" s="318" t="s">
        <v>1327</v>
      </c>
      <c r="B765" s="319" t="s">
        <v>1504</v>
      </c>
      <c r="C765" s="319" t="s">
        <v>1328</v>
      </c>
      <c r="D765" s="319" t="s">
        <v>1173</v>
      </c>
      <c r="E765" s="320">
        <v>20000</v>
      </c>
      <c r="F765" s="320">
        <v>20000</v>
      </c>
    </row>
    <row r="766" spans="1:6">
      <c r="A766" s="318" t="s">
        <v>1198</v>
      </c>
      <c r="B766" s="319" t="s">
        <v>1504</v>
      </c>
      <c r="C766" s="319" t="s">
        <v>1199</v>
      </c>
      <c r="D766" s="319" t="s">
        <v>1173</v>
      </c>
      <c r="E766" s="320">
        <v>20000</v>
      </c>
      <c r="F766" s="320">
        <v>20000</v>
      </c>
    </row>
    <row r="767" spans="1:6">
      <c r="A767" s="318" t="s">
        <v>140</v>
      </c>
      <c r="B767" s="319" t="s">
        <v>1504</v>
      </c>
      <c r="C767" s="319" t="s">
        <v>1199</v>
      </c>
      <c r="D767" s="319" t="s">
        <v>1142</v>
      </c>
      <c r="E767" s="320">
        <v>20000</v>
      </c>
      <c r="F767" s="320">
        <v>20000</v>
      </c>
    </row>
    <row r="768" spans="1:6">
      <c r="A768" s="318" t="s">
        <v>1075</v>
      </c>
      <c r="B768" s="319" t="s">
        <v>1504</v>
      </c>
      <c r="C768" s="319" t="s">
        <v>1199</v>
      </c>
      <c r="D768" s="319" t="s">
        <v>365</v>
      </c>
      <c r="E768" s="320">
        <v>20000</v>
      </c>
      <c r="F768" s="320">
        <v>20000</v>
      </c>
    </row>
    <row r="769" spans="1:6" ht="25.5">
      <c r="A769" s="318" t="s">
        <v>471</v>
      </c>
      <c r="B769" s="319" t="s">
        <v>2082</v>
      </c>
      <c r="C769" s="319" t="s">
        <v>1173</v>
      </c>
      <c r="D769" s="319" t="s">
        <v>1173</v>
      </c>
      <c r="E769" s="320">
        <v>2889311.34</v>
      </c>
      <c r="F769" s="320">
        <v>2966252.25</v>
      </c>
    </row>
    <row r="770" spans="1:6" ht="102">
      <c r="A770" s="318" t="s">
        <v>1516</v>
      </c>
      <c r="B770" s="319" t="s">
        <v>1231</v>
      </c>
      <c r="C770" s="319" t="s">
        <v>1173</v>
      </c>
      <c r="D770" s="319" t="s">
        <v>1173</v>
      </c>
      <c r="E770" s="320">
        <v>2889311.34</v>
      </c>
      <c r="F770" s="320">
        <v>2966252.25</v>
      </c>
    </row>
    <row r="771" spans="1:6" ht="25.5">
      <c r="A771" s="318" t="s">
        <v>1323</v>
      </c>
      <c r="B771" s="319" t="s">
        <v>1231</v>
      </c>
      <c r="C771" s="319" t="s">
        <v>1324</v>
      </c>
      <c r="D771" s="319" t="s">
        <v>1173</v>
      </c>
      <c r="E771" s="320">
        <v>2889311.34</v>
      </c>
      <c r="F771" s="320">
        <v>2966252.25</v>
      </c>
    </row>
    <row r="772" spans="1:6" ht="38.25">
      <c r="A772" s="318" t="s">
        <v>1200</v>
      </c>
      <c r="B772" s="319" t="s">
        <v>1231</v>
      </c>
      <c r="C772" s="319" t="s">
        <v>557</v>
      </c>
      <c r="D772" s="319" t="s">
        <v>1173</v>
      </c>
      <c r="E772" s="320">
        <v>2889311.34</v>
      </c>
      <c r="F772" s="320">
        <v>2966252.25</v>
      </c>
    </row>
    <row r="773" spans="1:6">
      <c r="A773" s="318" t="s">
        <v>141</v>
      </c>
      <c r="B773" s="319" t="s">
        <v>1231</v>
      </c>
      <c r="C773" s="319" t="s">
        <v>557</v>
      </c>
      <c r="D773" s="319" t="s">
        <v>1143</v>
      </c>
      <c r="E773" s="320">
        <v>2889311.34</v>
      </c>
      <c r="F773" s="320">
        <v>2966252.25</v>
      </c>
    </row>
    <row r="774" spans="1:6">
      <c r="A774" s="318" t="s">
        <v>98</v>
      </c>
      <c r="B774" s="319" t="s">
        <v>1231</v>
      </c>
      <c r="C774" s="319" t="s">
        <v>557</v>
      </c>
      <c r="D774" s="319" t="s">
        <v>378</v>
      </c>
      <c r="E774" s="320">
        <v>2889311.34</v>
      </c>
      <c r="F774" s="320">
        <v>2966252.25</v>
      </c>
    </row>
    <row r="775" spans="1:6" ht="38.25">
      <c r="A775" s="318" t="s">
        <v>447</v>
      </c>
      <c r="B775" s="319" t="s">
        <v>987</v>
      </c>
      <c r="C775" s="319" t="s">
        <v>1173</v>
      </c>
      <c r="D775" s="319" t="s">
        <v>1173</v>
      </c>
      <c r="E775" s="320">
        <v>9512583</v>
      </c>
      <c r="F775" s="320">
        <v>9512583</v>
      </c>
    </row>
    <row r="776" spans="1:6" ht="127.5">
      <c r="A776" s="318" t="s">
        <v>371</v>
      </c>
      <c r="B776" s="319" t="s">
        <v>685</v>
      </c>
      <c r="C776" s="319" t="s">
        <v>1173</v>
      </c>
      <c r="D776" s="319" t="s">
        <v>1173</v>
      </c>
      <c r="E776" s="320">
        <v>6673583</v>
      </c>
      <c r="F776" s="320">
        <v>6673583</v>
      </c>
    </row>
    <row r="777" spans="1:6" ht="38.25">
      <c r="A777" s="318" t="s">
        <v>1327</v>
      </c>
      <c r="B777" s="319" t="s">
        <v>685</v>
      </c>
      <c r="C777" s="319" t="s">
        <v>1328</v>
      </c>
      <c r="D777" s="319" t="s">
        <v>1173</v>
      </c>
      <c r="E777" s="320">
        <v>6673583</v>
      </c>
      <c r="F777" s="320">
        <v>6673583</v>
      </c>
    </row>
    <row r="778" spans="1:6">
      <c r="A778" s="318" t="s">
        <v>1198</v>
      </c>
      <c r="B778" s="319" t="s">
        <v>685</v>
      </c>
      <c r="C778" s="319" t="s">
        <v>1199</v>
      </c>
      <c r="D778" s="319" t="s">
        <v>1173</v>
      </c>
      <c r="E778" s="320">
        <v>6673583</v>
      </c>
      <c r="F778" s="320">
        <v>6673583</v>
      </c>
    </row>
    <row r="779" spans="1:6">
      <c r="A779" s="318" t="s">
        <v>140</v>
      </c>
      <c r="B779" s="319" t="s">
        <v>685</v>
      </c>
      <c r="C779" s="319" t="s">
        <v>1199</v>
      </c>
      <c r="D779" s="319" t="s">
        <v>1142</v>
      </c>
      <c r="E779" s="320">
        <v>6673583</v>
      </c>
      <c r="F779" s="320">
        <v>6673583</v>
      </c>
    </row>
    <row r="780" spans="1:6">
      <c r="A780" s="318" t="s">
        <v>1075</v>
      </c>
      <c r="B780" s="319" t="s">
        <v>685</v>
      </c>
      <c r="C780" s="319" t="s">
        <v>1199</v>
      </c>
      <c r="D780" s="319" t="s">
        <v>365</v>
      </c>
      <c r="E780" s="320">
        <v>6673583</v>
      </c>
      <c r="F780" s="320">
        <v>6673583</v>
      </c>
    </row>
    <row r="781" spans="1:6" ht="178.5">
      <c r="A781" s="318" t="s">
        <v>372</v>
      </c>
      <c r="B781" s="319" t="s">
        <v>686</v>
      </c>
      <c r="C781" s="319" t="s">
        <v>1173</v>
      </c>
      <c r="D781" s="319" t="s">
        <v>1173</v>
      </c>
      <c r="E781" s="320">
        <v>1200000</v>
      </c>
      <c r="F781" s="320">
        <v>1200000</v>
      </c>
    </row>
    <row r="782" spans="1:6" ht="38.25">
      <c r="A782" s="318" t="s">
        <v>1327</v>
      </c>
      <c r="B782" s="319" t="s">
        <v>686</v>
      </c>
      <c r="C782" s="319" t="s">
        <v>1328</v>
      </c>
      <c r="D782" s="319" t="s">
        <v>1173</v>
      </c>
      <c r="E782" s="320">
        <v>1200000</v>
      </c>
      <c r="F782" s="320">
        <v>1200000</v>
      </c>
    </row>
    <row r="783" spans="1:6">
      <c r="A783" s="318" t="s">
        <v>1198</v>
      </c>
      <c r="B783" s="319" t="s">
        <v>686</v>
      </c>
      <c r="C783" s="319" t="s">
        <v>1199</v>
      </c>
      <c r="D783" s="319" t="s">
        <v>1173</v>
      </c>
      <c r="E783" s="320">
        <v>1200000</v>
      </c>
      <c r="F783" s="320">
        <v>1200000</v>
      </c>
    </row>
    <row r="784" spans="1:6">
      <c r="A784" s="318" t="s">
        <v>140</v>
      </c>
      <c r="B784" s="319" t="s">
        <v>686</v>
      </c>
      <c r="C784" s="319" t="s">
        <v>1199</v>
      </c>
      <c r="D784" s="319" t="s">
        <v>1142</v>
      </c>
      <c r="E784" s="320">
        <v>1200000</v>
      </c>
      <c r="F784" s="320">
        <v>1200000</v>
      </c>
    </row>
    <row r="785" spans="1:6">
      <c r="A785" s="318" t="s">
        <v>1075</v>
      </c>
      <c r="B785" s="319" t="s">
        <v>686</v>
      </c>
      <c r="C785" s="319" t="s">
        <v>1199</v>
      </c>
      <c r="D785" s="319" t="s">
        <v>365</v>
      </c>
      <c r="E785" s="320">
        <v>1200000</v>
      </c>
      <c r="F785" s="320">
        <v>1200000</v>
      </c>
    </row>
    <row r="786" spans="1:6" ht="127.5">
      <c r="A786" s="318" t="s">
        <v>907</v>
      </c>
      <c r="B786" s="319" t="s">
        <v>906</v>
      </c>
      <c r="C786" s="319" t="s">
        <v>1173</v>
      </c>
      <c r="D786" s="319" t="s">
        <v>1173</v>
      </c>
      <c r="E786" s="320">
        <v>30000</v>
      </c>
      <c r="F786" s="320">
        <v>30000</v>
      </c>
    </row>
    <row r="787" spans="1:6" ht="38.25">
      <c r="A787" s="318" t="s">
        <v>1327</v>
      </c>
      <c r="B787" s="319" t="s">
        <v>906</v>
      </c>
      <c r="C787" s="319" t="s">
        <v>1328</v>
      </c>
      <c r="D787" s="319" t="s">
        <v>1173</v>
      </c>
      <c r="E787" s="320">
        <v>30000</v>
      </c>
      <c r="F787" s="320">
        <v>30000</v>
      </c>
    </row>
    <row r="788" spans="1:6">
      <c r="A788" s="318" t="s">
        <v>1198</v>
      </c>
      <c r="B788" s="319" t="s">
        <v>906</v>
      </c>
      <c r="C788" s="319" t="s">
        <v>1199</v>
      </c>
      <c r="D788" s="319" t="s">
        <v>1173</v>
      </c>
      <c r="E788" s="320">
        <v>30000</v>
      </c>
      <c r="F788" s="320">
        <v>30000</v>
      </c>
    </row>
    <row r="789" spans="1:6">
      <c r="A789" s="318" t="s">
        <v>140</v>
      </c>
      <c r="B789" s="319" t="s">
        <v>906</v>
      </c>
      <c r="C789" s="319" t="s">
        <v>1199</v>
      </c>
      <c r="D789" s="319" t="s">
        <v>1142</v>
      </c>
      <c r="E789" s="320">
        <v>30000</v>
      </c>
      <c r="F789" s="320">
        <v>30000</v>
      </c>
    </row>
    <row r="790" spans="1:6">
      <c r="A790" s="318" t="s">
        <v>1075</v>
      </c>
      <c r="B790" s="319" t="s">
        <v>906</v>
      </c>
      <c r="C790" s="319" t="s">
        <v>1199</v>
      </c>
      <c r="D790" s="319" t="s">
        <v>365</v>
      </c>
      <c r="E790" s="320">
        <v>30000</v>
      </c>
      <c r="F790" s="320">
        <v>30000</v>
      </c>
    </row>
    <row r="791" spans="1:6" ht="102">
      <c r="A791" s="318" t="s">
        <v>1216</v>
      </c>
      <c r="B791" s="319" t="s">
        <v>1217</v>
      </c>
      <c r="C791" s="319" t="s">
        <v>1173</v>
      </c>
      <c r="D791" s="319" t="s">
        <v>1173</v>
      </c>
      <c r="E791" s="320">
        <v>950000</v>
      </c>
      <c r="F791" s="320">
        <v>950000</v>
      </c>
    </row>
    <row r="792" spans="1:6" ht="38.25">
      <c r="A792" s="318" t="s">
        <v>1327</v>
      </c>
      <c r="B792" s="319" t="s">
        <v>1217</v>
      </c>
      <c r="C792" s="319" t="s">
        <v>1328</v>
      </c>
      <c r="D792" s="319" t="s">
        <v>1173</v>
      </c>
      <c r="E792" s="320">
        <v>950000</v>
      </c>
      <c r="F792" s="320">
        <v>950000</v>
      </c>
    </row>
    <row r="793" spans="1:6">
      <c r="A793" s="318" t="s">
        <v>1198</v>
      </c>
      <c r="B793" s="319" t="s">
        <v>1217</v>
      </c>
      <c r="C793" s="319" t="s">
        <v>1199</v>
      </c>
      <c r="D793" s="319" t="s">
        <v>1173</v>
      </c>
      <c r="E793" s="320">
        <v>950000</v>
      </c>
      <c r="F793" s="320">
        <v>950000</v>
      </c>
    </row>
    <row r="794" spans="1:6">
      <c r="A794" s="318" t="s">
        <v>140</v>
      </c>
      <c r="B794" s="319" t="s">
        <v>1217</v>
      </c>
      <c r="C794" s="319" t="s">
        <v>1199</v>
      </c>
      <c r="D794" s="319" t="s">
        <v>1142</v>
      </c>
      <c r="E794" s="320">
        <v>950000</v>
      </c>
      <c r="F794" s="320">
        <v>950000</v>
      </c>
    </row>
    <row r="795" spans="1:6">
      <c r="A795" s="318" t="s">
        <v>1075</v>
      </c>
      <c r="B795" s="319" t="s">
        <v>1217</v>
      </c>
      <c r="C795" s="319" t="s">
        <v>1199</v>
      </c>
      <c r="D795" s="319" t="s">
        <v>365</v>
      </c>
      <c r="E795" s="320">
        <v>950000</v>
      </c>
      <c r="F795" s="320">
        <v>950000</v>
      </c>
    </row>
    <row r="796" spans="1:6" ht="114.75">
      <c r="A796" s="318" t="s">
        <v>1629</v>
      </c>
      <c r="B796" s="319" t="s">
        <v>1630</v>
      </c>
      <c r="C796" s="319" t="s">
        <v>1173</v>
      </c>
      <c r="D796" s="319" t="s">
        <v>1173</v>
      </c>
      <c r="E796" s="320">
        <v>24000</v>
      </c>
      <c r="F796" s="320">
        <v>24000</v>
      </c>
    </row>
    <row r="797" spans="1:6" ht="38.25">
      <c r="A797" s="318" t="s">
        <v>1327</v>
      </c>
      <c r="B797" s="319" t="s">
        <v>1630</v>
      </c>
      <c r="C797" s="319" t="s">
        <v>1328</v>
      </c>
      <c r="D797" s="319" t="s">
        <v>1173</v>
      </c>
      <c r="E797" s="320">
        <v>24000</v>
      </c>
      <c r="F797" s="320">
        <v>24000</v>
      </c>
    </row>
    <row r="798" spans="1:6">
      <c r="A798" s="318" t="s">
        <v>1198</v>
      </c>
      <c r="B798" s="319" t="s">
        <v>1630</v>
      </c>
      <c r="C798" s="319" t="s">
        <v>1199</v>
      </c>
      <c r="D798" s="319" t="s">
        <v>1173</v>
      </c>
      <c r="E798" s="320">
        <v>24000</v>
      </c>
      <c r="F798" s="320">
        <v>24000</v>
      </c>
    </row>
    <row r="799" spans="1:6">
      <c r="A799" s="318" t="s">
        <v>140</v>
      </c>
      <c r="B799" s="319" t="s">
        <v>1630</v>
      </c>
      <c r="C799" s="319" t="s">
        <v>1199</v>
      </c>
      <c r="D799" s="319" t="s">
        <v>1142</v>
      </c>
      <c r="E799" s="320">
        <v>24000</v>
      </c>
      <c r="F799" s="320">
        <v>24000</v>
      </c>
    </row>
    <row r="800" spans="1:6">
      <c r="A800" s="318" t="s">
        <v>1075</v>
      </c>
      <c r="B800" s="319" t="s">
        <v>1630</v>
      </c>
      <c r="C800" s="319" t="s">
        <v>1199</v>
      </c>
      <c r="D800" s="319" t="s">
        <v>365</v>
      </c>
      <c r="E800" s="320">
        <v>24000</v>
      </c>
      <c r="F800" s="320">
        <v>24000</v>
      </c>
    </row>
    <row r="801" spans="1:6" ht="89.25">
      <c r="A801" s="318" t="s">
        <v>1218</v>
      </c>
      <c r="B801" s="319" t="s">
        <v>1219</v>
      </c>
      <c r="C801" s="319" t="s">
        <v>1173</v>
      </c>
      <c r="D801" s="319" t="s">
        <v>1173</v>
      </c>
      <c r="E801" s="320">
        <v>250000</v>
      </c>
      <c r="F801" s="320">
        <v>250000</v>
      </c>
    </row>
    <row r="802" spans="1:6" ht="38.25">
      <c r="A802" s="318" t="s">
        <v>1327</v>
      </c>
      <c r="B802" s="319" t="s">
        <v>1219</v>
      </c>
      <c r="C802" s="319" t="s">
        <v>1328</v>
      </c>
      <c r="D802" s="319" t="s">
        <v>1173</v>
      </c>
      <c r="E802" s="320">
        <v>250000</v>
      </c>
      <c r="F802" s="320">
        <v>250000</v>
      </c>
    </row>
    <row r="803" spans="1:6">
      <c r="A803" s="318" t="s">
        <v>1198</v>
      </c>
      <c r="B803" s="319" t="s">
        <v>1219</v>
      </c>
      <c r="C803" s="319" t="s">
        <v>1199</v>
      </c>
      <c r="D803" s="319" t="s">
        <v>1173</v>
      </c>
      <c r="E803" s="320">
        <v>250000</v>
      </c>
      <c r="F803" s="320">
        <v>250000</v>
      </c>
    </row>
    <row r="804" spans="1:6">
      <c r="A804" s="318" t="s">
        <v>140</v>
      </c>
      <c r="B804" s="319" t="s">
        <v>1219</v>
      </c>
      <c r="C804" s="319" t="s">
        <v>1199</v>
      </c>
      <c r="D804" s="319" t="s">
        <v>1142</v>
      </c>
      <c r="E804" s="320">
        <v>250000</v>
      </c>
      <c r="F804" s="320">
        <v>250000</v>
      </c>
    </row>
    <row r="805" spans="1:6">
      <c r="A805" s="318" t="s">
        <v>1075</v>
      </c>
      <c r="B805" s="319" t="s">
        <v>1219</v>
      </c>
      <c r="C805" s="319" t="s">
        <v>1199</v>
      </c>
      <c r="D805" s="319" t="s">
        <v>365</v>
      </c>
      <c r="E805" s="320">
        <v>250000</v>
      </c>
      <c r="F805" s="320">
        <v>250000</v>
      </c>
    </row>
    <row r="806" spans="1:6" ht="76.5">
      <c r="A806" s="318" t="s">
        <v>370</v>
      </c>
      <c r="B806" s="319" t="s">
        <v>1349</v>
      </c>
      <c r="C806" s="319" t="s">
        <v>1173</v>
      </c>
      <c r="D806" s="319" t="s">
        <v>1173</v>
      </c>
      <c r="E806" s="320">
        <v>385000</v>
      </c>
      <c r="F806" s="320">
        <v>385000</v>
      </c>
    </row>
    <row r="807" spans="1:6" ht="38.25">
      <c r="A807" s="318" t="s">
        <v>1327</v>
      </c>
      <c r="B807" s="319" t="s">
        <v>1349</v>
      </c>
      <c r="C807" s="319" t="s">
        <v>1328</v>
      </c>
      <c r="D807" s="319" t="s">
        <v>1173</v>
      </c>
      <c r="E807" s="320">
        <v>385000</v>
      </c>
      <c r="F807" s="320">
        <v>385000</v>
      </c>
    </row>
    <row r="808" spans="1:6">
      <c r="A808" s="318" t="s">
        <v>1198</v>
      </c>
      <c r="B808" s="319" t="s">
        <v>1349</v>
      </c>
      <c r="C808" s="319" t="s">
        <v>1199</v>
      </c>
      <c r="D808" s="319" t="s">
        <v>1173</v>
      </c>
      <c r="E808" s="320">
        <v>385000</v>
      </c>
      <c r="F808" s="320">
        <v>385000</v>
      </c>
    </row>
    <row r="809" spans="1:6">
      <c r="A809" s="318" t="s">
        <v>140</v>
      </c>
      <c r="B809" s="319" t="s">
        <v>1349</v>
      </c>
      <c r="C809" s="319" t="s">
        <v>1199</v>
      </c>
      <c r="D809" s="319" t="s">
        <v>1142</v>
      </c>
      <c r="E809" s="320">
        <v>385000</v>
      </c>
      <c r="F809" s="320">
        <v>385000</v>
      </c>
    </row>
    <row r="810" spans="1:6">
      <c r="A810" s="318" t="s">
        <v>1075</v>
      </c>
      <c r="B810" s="319" t="s">
        <v>1349</v>
      </c>
      <c r="C810" s="319" t="s">
        <v>1199</v>
      </c>
      <c r="D810" s="319" t="s">
        <v>365</v>
      </c>
      <c r="E810" s="320">
        <v>385000</v>
      </c>
      <c r="F810" s="320">
        <v>385000</v>
      </c>
    </row>
    <row r="811" spans="1:6" ht="38.25">
      <c r="A811" s="318" t="s">
        <v>1955</v>
      </c>
      <c r="B811" s="319" t="s">
        <v>1956</v>
      </c>
      <c r="C811" s="319" t="s">
        <v>1173</v>
      </c>
      <c r="D811" s="319" t="s">
        <v>1173</v>
      </c>
      <c r="E811" s="320">
        <v>75500</v>
      </c>
      <c r="F811" s="320">
        <v>75500</v>
      </c>
    </row>
    <row r="812" spans="1:6" ht="102">
      <c r="A812" s="318" t="s">
        <v>1957</v>
      </c>
      <c r="B812" s="319" t="s">
        <v>1958</v>
      </c>
      <c r="C812" s="319" t="s">
        <v>1173</v>
      </c>
      <c r="D812" s="319" t="s">
        <v>1173</v>
      </c>
      <c r="E812" s="320">
        <v>45500</v>
      </c>
      <c r="F812" s="320">
        <v>45500</v>
      </c>
    </row>
    <row r="813" spans="1:6" ht="38.25">
      <c r="A813" s="318" t="s">
        <v>1327</v>
      </c>
      <c r="B813" s="319" t="s">
        <v>1958</v>
      </c>
      <c r="C813" s="319" t="s">
        <v>1328</v>
      </c>
      <c r="D813" s="319" t="s">
        <v>1173</v>
      </c>
      <c r="E813" s="320">
        <v>45500</v>
      </c>
      <c r="F813" s="320">
        <v>45500</v>
      </c>
    </row>
    <row r="814" spans="1:6">
      <c r="A814" s="318" t="s">
        <v>1198</v>
      </c>
      <c r="B814" s="319" t="s">
        <v>1958</v>
      </c>
      <c r="C814" s="319" t="s">
        <v>1199</v>
      </c>
      <c r="D814" s="319" t="s">
        <v>1173</v>
      </c>
      <c r="E814" s="320">
        <v>45500</v>
      </c>
      <c r="F814" s="320">
        <v>45500</v>
      </c>
    </row>
    <row r="815" spans="1:6">
      <c r="A815" s="318" t="s">
        <v>140</v>
      </c>
      <c r="B815" s="319" t="s">
        <v>1958</v>
      </c>
      <c r="C815" s="319" t="s">
        <v>1199</v>
      </c>
      <c r="D815" s="319" t="s">
        <v>1142</v>
      </c>
      <c r="E815" s="320">
        <v>45500</v>
      </c>
      <c r="F815" s="320">
        <v>45500</v>
      </c>
    </row>
    <row r="816" spans="1:6">
      <c r="A816" s="318" t="s">
        <v>1075</v>
      </c>
      <c r="B816" s="319" t="s">
        <v>1958</v>
      </c>
      <c r="C816" s="319" t="s">
        <v>1199</v>
      </c>
      <c r="D816" s="319" t="s">
        <v>365</v>
      </c>
      <c r="E816" s="320">
        <v>45500</v>
      </c>
      <c r="F816" s="320">
        <v>45500</v>
      </c>
    </row>
    <row r="817" spans="1:6" ht="89.25">
      <c r="A817" s="318" t="s">
        <v>1959</v>
      </c>
      <c r="B817" s="319" t="s">
        <v>1960</v>
      </c>
      <c r="C817" s="319" t="s">
        <v>1173</v>
      </c>
      <c r="D817" s="319" t="s">
        <v>1173</v>
      </c>
      <c r="E817" s="320">
        <v>30000</v>
      </c>
      <c r="F817" s="320">
        <v>30000</v>
      </c>
    </row>
    <row r="818" spans="1:6" ht="38.25">
      <c r="A818" s="318" t="s">
        <v>1327</v>
      </c>
      <c r="B818" s="319" t="s">
        <v>1960</v>
      </c>
      <c r="C818" s="319" t="s">
        <v>1328</v>
      </c>
      <c r="D818" s="319" t="s">
        <v>1173</v>
      </c>
      <c r="E818" s="320">
        <v>30000</v>
      </c>
      <c r="F818" s="320">
        <v>30000</v>
      </c>
    </row>
    <row r="819" spans="1:6">
      <c r="A819" s="318" t="s">
        <v>1198</v>
      </c>
      <c r="B819" s="319" t="s">
        <v>1960</v>
      </c>
      <c r="C819" s="319" t="s">
        <v>1199</v>
      </c>
      <c r="D819" s="319" t="s">
        <v>1173</v>
      </c>
      <c r="E819" s="320">
        <v>30000</v>
      </c>
      <c r="F819" s="320">
        <v>30000</v>
      </c>
    </row>
    <row r="820" spans="1:6">
      <c r="A820" s="318" t="s">
        <v>140</v>
      </c>
      <c r="B820" s="319" t="s">
        <v>1960</v>
      </c>
      <c r="C820" s="319" t="s">
        <v>1199</v>
      </c>
      <c r="D820" s="319" t="s">
        <v>1142</v>
      </c>
      <c r="E820" s="320">
        <v>30000</v>
      </c>
      <c r="F820" s="320">
        <v>30000</v>
      </c>
    </row>
    <row r="821" spans="1:6">
      <c r="A821" s="318" t="s">
        <v>1075</v>
      </c>
      <c r="B821" s="319" t="s">
        <v>1960</v>
      </c>
      <c r="C821" s="319" t="s">
        <v>1199</v>
      </c>
      <c r="D821" s="319" t="s">
        <v>365</v>
      </c>
      <c r="E821" s="320">
        <v>30000</v>
      </c>
      <c r="F821" s="320">
        <v>30000</v>
      </c>
    </row>
    <row r="822" spans="1:6" ht="38.25">
      <c r="A822" s="318" t="s">
        <v>1351</v>
      </c>
      <c r="B822" s="319" t="s">
        <v>988</v>
      </c>
      <c r="C822" s="319" t="s">
        <v>1173</v>
      </c>
      <c r="D822" s="319" t="s">
        <v>1173</v>
      </c>
      <c r="E822" s="320">
        <v>18457946</v>
      </c>
      <c r="F822" s="320">
        <v>18457946</v>
      </c>
    </row>
    <row r="823" spans="1:6" ht="25.5">
      <c r="A823" s="318" t="s">
        <v>475</v>
      </c>
      <c r="B823" s="319" t="s">
        <v>989</v>
      </c>
      <c r="C823" s="319" t="s">
        <v>1173</v>
      </c>
      <c r="D823" s="319" t="s">
        <v>1173</v>
      </c>
      <c r="E823" s="320">
        <v>18270296</v>
      </c>
      <c r="F823" s="320">
        <v>18270296</v>
      </c>
    </row>
    <row r="824" spans="1:6" ht="140.25">
      <c r="A824" s="318" t="s">
        <v>1176</v>
      </c>
      <c r="B824" s="319" t="s">
        <v>1177</v>
      </c>
      <c r="C824" s="319" t="s">
        <v>1173</v>
      </c>
      <c r="D824" s="319" t="s">
        <v>1173</v>
      </c>
      <c r="E824" s="320">
        <v>10904296</v>
      </c>
      <c r="F824" s="320">
        <v>10904296</v>
      </c>
    </row>
    <row r="825" spans="1:6" ht="38.25">
      <c r="A825" s="318" t="s">
        <v>1327</v>
      </c>
      <c r="B825" s="319" t="s">
        <v>1177</v>
      </c>
      <c r="C825" s="319" t="s">
        <v>1328</v>
      </c>
      <c r="D825" s="319" t="s">
        <v>1173</v>
      </c>
      <c r="E825" s="320">
        <v>10904296</v>
      </c>
      <c r="F825" s="320">
        <v>10904296</v>
      </c>
    </row>
    <row r="826" spans="1:6">
      <c r="A826" s="318" t="s">
        <v>1198</v>
      </c>
      <c r="B826" s="319" t="s">
        <v>1177</v>
      </c>
      <c r="C826" s="319" t="s">
        <v>1199</v>
      </c>
      <c r="D826" s="319" t="s">
        <v>1173</v>
      </c>
      <c r="E826" s="320">
        <v>10904296</v>
      </c>
      <c r="F826" s="320">
        <v>10904296</v>
      </c>
    </row>
    <row r="827" spans="1:6">
      <c r="A827" s="318" t="s">
        <v>248</v>
      </c>
      <c r="B827" s="319" t="s">
        <v>1177</v>
      </c>
      <c r="C827" s="319" t="s">
        <v>1199</v>
      </c>
      <c r="D827" s="319" t="s">
        <v>1144</v>
      </c>
      <c r="E827" s="320">
        <v>10904296</v>
      </c>
      <c r="F827" s="320">
        <v>10904296</v>
      </c>
    </row>
    <row r="828" spans="1:6">
      <c r="A828" s="318" t="s">
        <v>1228</v>
      </c>
      <c r="B828" s="319" t="s">
        <v>1177</v>
      </c>
      <c r="C828" s="319" t="s">
        <v>1199</v>
      </c>
      <c r="D828" s="319" t="s">
        <v>1229</v>
      </c>
      <c r="E828" s="320">
        <v>10904296</v>
      </c>
      <c r="F828" s="320">
        <v>10904296</v>
      </c>
    </row>
    <row r="829" spans="1:6" ht="191.25">
      <c r="A829" s="318" t="s">
        <v>1178</v>
      </c>
      <c r="B829" s="319" t="s">
        <v>1179</v>
      </c>
      <c r="C829" s="319" t="s">
        <v>1173</v>
      </c>
      <c r="D829" s="319" t="s">
        <v>1173</v>
      </c>
      <c r="E829" s="320">
        <v>2475000</v>
      </c>
      <c r="F829" s="320">
        <v>2475000</v>
      </c>
    </row>
    <row r="830" spans="1:6" ht="38.25">
      <c r="A830" s="318" t="s">
        <v>1327</v>
      </c>
      <c r="B830" s="319" t="s">
        <v>1179</v>
      </c>
      <c r="C830" s="319" t="s">
        <v>1328</v>
      </c>
      <c r="D830" s="319" t="s">
        <v>1173</v>
      </c>
      <c r="E830" s="320">
        <v>2475000</v>
      </c>
      <c r="F830" s="320">
        <v>2475000</v>
      </c>
    </row>
    <row r="831" spans="1:6">
      <c r="A831" s="318" t="s">
        <v>1198</v>
      </c>
      <c r="B831" s="319" t="s">
        <v>1179</v>
      </c>
      <c r="C831" s="319" t="s">
        <v>1199</v>
      </c>
      <c r="D831" s="319" t="s">
        <v>1173</v>
      </c>
      <c r="E831" s="320">
        <v>2475000</v>
      </c>
      <c r="F831" s="320">
        <v>2475000</v>
      </c>
    </row>
    <row r="832" spans="1:6">
      <c r="A832" s="318" t="s">
        <v>248</v>
      </c>
      <c r="B832" s="319" t="s">
        <v>1179</v>
      </c>
      <c r="C832" s="319" t="s">
        <v>1199</v>
      </c>
      <c r="D832" s="319" t="s">
        <v>1144</v>
      </c>
      <c r="E832" s="320">
        <v>2475000</v>
      </c>
      <c r="F832" s="320">
        <v>2475000</v>
      </c>
    </row>
    <row r="833" spans="1:6">
      <c r="A833" s="318" t="s">
        <v>1228</v>
      </c>
      <c r="B833" s="319" t="s">
        <v>1179</v>
      </c>
      <c r="C833" s="319" t="s">
        <v>1199</v>
      </c>
      <c r="D833" s="319" t="s">
        <v>1229</v>
      </c>
      <c r="E833" s="320">
        <v>2475000</v>
      </c>
      <c r="F833" s="320">
        <v>2475000</v>
      </c>
    </row>
    <row r="834" spans="1:6" ht="140.25">
      <c r="A834" s="318" t="s">
        <v>1180</v>
      </c>
      <c r="B834" s="319" t="s">
        <v>1181</v>
      </c>
      <c r="C834" s="319" t="s">
        <v>1173</v>
      </c>
      <c r="D834" s="319" t="s">
        <v>1173</v>
      </c>
      <c r="E834" s="320">
        <v>50000</v>
      </c>
      <c r="F834" s="320">
        <v>50000</v>
      </c>
    </row>
    <row r="835" spans="1:6" ht="38.25">
      <c r="A835" s="318" t="s">
        <v>1327</v>
      </c>
      <c r="B835" s="319" t="s">
        <v>1181</v>
      </c>
      <c r="C835" s="319" t="s">
        <v>1328</v>
      </c>
      <c r="D835" s="319" t="s">
        <v>1173</v>
      </c>
      <c r="E835" s="320">
        <v>50000</v>
      </c>
      <c r="F835" s="320">
        <v>50000</v>
      </c>
    </row>
    <row r="836" spans="1:6">
      <c r="A836" s="318" t="s">
        <v>1198</v>
      </c>
      <c r="B836" s="319" t="s">
        <v>1181</v>
      </c>
      <c r="C836" s="319" t="s">
        <v>1199</v>
      </c>
      <c r="D836" s="319" t="s">
        <v>1173</v>
      </c>
      <c r="E836" s="320">
        <v>50000</v>
      </c>
      <c r="F836" s="320">
        <v>50000</v>
      </c>
    </row>
    <row r="837" spans="1:6">
      <c r="A837" s="318" t="s">
        <v>248</v>
      </c>
      <c r="B837" s="319" t="s">
        <v>1181</v>
      </c>
      <c r="C837" s="319" t="s">
        <v>1199</v>
      </c>
      <c r="D837" s="319" t="s">
        <v>1144</v>
      </c>
      <c r="E837" s="320">
        <v>50000</v>
      </c>
      <c r="F837" s="320">
        <v>50000</v>
      </c>
    </row>
    <row r="838" spans="1:6">
      <c r="A838" s="318" t="s">
        <v>1228</v>
      </c>
      <c r="B838" s="319" t="s">
        <v>1181</v>
      </c>
      <c r="C838" s="319" t="s">
        <v>1199</v>
      </c>
      <c r="D838" s="319" t="s">
        <v>1229</v>
      </c>
      <c r="E838" s="320">
        <v>50000</v>
      </c>
      <c r="F838" s="320">
        <v>50000</v>
      </c>
    </row>
    <row r="839" spans="1:6" ht="140.25">
      <c r="A839" s="318" t="s">
        <v>1182</v>
      </c>
      <c r="B839" s="319" t="s">
        <v>1183</v>
      </c>
      <c r="C839" s="319" t="s">
        <v>1173</v>
      </c>
      <c r="D839" s="319" t="s">
        <v>1173</v>
      </c>
      <c r="E839" s="320">
        <v>2920000</v>
      </c>
      <c r="F839" s="320">
        <v>2920000</v>
      </c>
    </row>
    <row r="840" spans="1:6" ht="38.25">
      <c r="A840" s="318" t="s">
        <v>1327</v>
      </c>
      <c r="B840" s="319" t="s">
        <v>1183</v>
      </c>
      <c r="C840" s="319" t="s">
        <v>1328</v>
      </c>
      <c r="D840" s="319" t="s">
        <v>1173</v>
      </c>
      <c r="E840" s="320">
        <v>2920000</v>
      </c>
      <c r="F840" s="320">
        <v>2920000</v>
      </c>
    </row>
    <row r="841" spans="1:6">
      <c r="A841" s="318" t="s">
        <v>1198</v>
      </c>
      <c r="B841" s="319" t="s">
        <v>1183</v>
      </c>
      <c r="C841" s="319" t="s">
        <v>1199</v>
      </c>
      <c r="D841" s="319" t="s">
        <v>1173</v>
      </c>
      <c r="E841" s="320">
        <v>2920000</v>
      </c>
      <c r="F841" s="320">
        <v>2920000</v>
      </c>
    </row>
    <row r="842" spans="1:6">
      <c r="A842" s="318" t="s">
        <v>248</v>
      </c>
      <c r="B842" s="319" t="s">
        <v>1183</v>
      </c>
      <c r="C842" s="319" t="s">
        <v>1199</v>
      </c>
      <c r="D842" s="319" t="s">
        <v>1144</v>
      </c>
      <c r="E842" s="320">
        <v>2920000</v>
      </c>
      <c r="F842" s="320">
        <v>2920000</v>
      </c>
    </row>
    <row r="843" spans="1:6">
      <c r="A843" s="318" t="s">
        <v>1228</v>
      </c>
      <c r="B843" s="319" t="s">
        <v>1183</v>
      </c>
      <c r="C843" s="319" t="s">
        <v>1199</v>
      </c>
      <c r="D843" s="319" t="s">
        <v>1229</v>
      </c>
      <c r="E843" s="320">
        <v>2920000</v>
      </c>
      <c r="F843" s="320">
        <v>2920000</v>
      </c>
    </row>
    <row r="844" spans="1:6" ht="153">
      <c r="A844" s="318" t="s">
        <v>1637</v>
      </c>
      <c r="B844" s="319" t="s">
        <v>1638</v>
      </c>
      <c r="C844" s="319" t="s">
        <v>1173</v>
      </c>
      <c r="D844" s="319" t="s">
        <v>1173</v>
      </c>
      <c r="E844" s="320">
        <v>21000</v>
      </c>
      <c r="F844" s="320">
        <v>21000</v>
      </c>
    </row>
    <row r="845" spans="1:6" ht="38.25">
      <c r="A845" s="318" t="s">
        <v>1327</v>
      </c>
      <c r="B845" s="319" t="s">
        <v>1638</v>
      </c>
      <c r="C845" s="319" t="s">
        <v>1328</v>
      </c>
      <c r="D845" s="319" t="s">
        <v>1173</v>
      </c>
      <c r="E845" s="320">
        <v>21000</v>
      </c>
      <c r="F845" s="320">
        <v>21000</v>
      </c>
    </row>
    <row r="846" spans="1:6">
      <c r="A846" s="318" t="s">
        <v>1198</v>
      </c>
      <c r="B846" s="319" t="s">
        <v>1638</v>
      </c>
      <c r="C846" s="319" t="s">
        <v>1199</v>
      </c>
      <c r="D846" s="319" t="s">
        <v>1173</v>
      </c>
      <c r="E846" s="320">
        <v>21000</v>
      </c>
      <c r="F846" s="320">
        <v>21000</v>
      </c>
    </row>
    <row r="847" spans="1:6">
      <c r="A847" s="318" t="s">
        <v>248</v>
      </c>
      <c r="B847" s="319" t="s">
        <v>1638</v>
      </c>
      <c r="C847" s="319" t="s">
        <v>1199</v>
      </c>
      <c r="D847" s="319" t="s">
        <v>1144</v>
      </c>
      <c r="E847" s="320">
        <v>21000</v>
      </c>
      <c r="F847" s="320">
        <v>21000</v>
      </c>
    </row>
    <row r="848" spans="1:6">
      <c r="A848" s="318" t="s">
        <v>1228</v>
      </c>
      <c r="B848" s="319" t="s">
        <v>1638</v>
      </c>
      <c r="C848" s="319" t="s">
        <v>1199</v>
      </c>
      <c r="D848" s="319" t="s">
        <v>1229</v>
      </c>
      <c r="E848" s="320">
        <v>21000</v>
      </c>
      <c r="F848" s="320">
        <v>21000</v>
      </c>
    </row>
    <row r="849" spans="1:6" ht="127.5">
      <c r="A849" s="318" t="s">
        <v>1184</v>
      </c>
      <c r="B849" s="319" t="s">
        <v>1185</v>
      </c>
      <c r="C849" s="319" t="s">
        <v>1173</v>
      </c>
      <c r="D849" s="319" t="s">
        <v>1173</v>
      </c>
      <c r="E849" s="320">
        <v>500000</v>
      </c>
      <c r="F849" s="320">
        <v>500000</v>
      </c>
    </row>
    <row r="850" spans="1:6" ht="38.25">
      <c r="A850" s="318" t="s">
        <v>1327</v>
      </c>
      <c r="B850" s="319" t="s">
        <v>1185</v>
      </c>
      <c r="C850" s="319" t="s">
        <v>1328</v>
      </c>
      <c r="D850" s="319" t="s">
        <v>1173</v>
      </c>
      <c r="E850" s="320">
        <v>500000</v>
      </c>
      <c r="F850" s="320">
        <v>500000</v>
      </c>
    </row>
    <row r="851" spans="1:6">
      <c r="A851" s="318" t="s">
        <v>1198</v>
      </c>
      <c r="B851" s="319" t="s">
        <v>1185</v>
      </c>
      <c r="C851" s="319" t="s">
        <v>1199</v>
      </c>
      <c r="D851" s="319" t="s">
        <v>1173</v>
      </c>
      <c r="E851" s="320">
        <v>500000</v>
      </c>
      <c r="F851" s="320">
        <v>500000</v>
      </c>
    </row>
    <row r="852" spans="1:6">
      <c r="A852" s="318" t="s">
        <v>248</v>
      </c>
      <c r="B852" s="319" t="s">
        <v>1185</v>
      </c>
      <c r="C852" s="319" t="s">
        <v>1199</v>
      </c>
      <c r="D852" s="319" t="s">
        <v>1144</v>
      </c>
      <c r="E852" s="320">
        <v>500000</v>
      </c>
      <c r="F852" s="320">
        <v>500000</v>
      </c>
    </row>
    <row r="853" spans="1:6">
      <c r="A853" s="318" t="s">
        <v>1228</v>
      </c>
      <c r="B853" s="319" t="s">
        <v>1185</v>
      </c>
      <c r="C853" s="319" t="s">
        <v>1199</v>
      </c>
      <c r="D853" s="319" t="s">
        <v>1229</v>
      </c>
      <c r="E853" s="320">
        <v>500000</v>
      </c>
      <c r="F853" s="320">
        <v>500000</v>
      </c>
    </row>
    <row r="854" spans="1:6" ht="102">
      <c r="A854" s="318" t="s">
        <v>1779</v>
      </c>
      <c r="B854" s="319" t="s">
        <v>1780</v>
      </c>
      <c r="C854" s="319" t="s">
        <v>1173</v>
      </c>
      <c r="D854" s="319" t="s">
        <v>1173</v>
      </c>
      <c r="E854" s="320">
        <v>500000</v>
      </c>
      <c r="F854" s="320">
        <v>500000</v>
      </c>
    </row>
    <row r="855" spans="1:6" ht="38.25">
      <c r="A855" s="318" t="s">
        <v>1327</v>
      </c>
      <c r="B855" s="319" t="s">
        <v>1780</v>
      </c>
      <c r="C855" s="319" t="s">
        <v>1328</v>
      </c>
      <c r="D855" s="319" t="s">
        <v>1173</v>
      </c>
      <c r="E855" s="320">
        <v>500000</v>
      </c>
      <c r="F855" s="320">
        <v>500000</v>
      </c>
    </row>
    <row r="856" spans="1:6">
      <c r="A856" s="318" t="s">
        <v>1198</v>
      </c>
      <c r="B856" s="319" t="s">
        <v>1780</v>
      </c>
      <c r="C856" s="319" t="s">
        <v>1199</v>
      </c>
      <c r="D856" s="319" t="s">
        <v>1173</v>
      </c>
      <c r="E856" s="320">
        <v>500000</v>
      </c>
      <c r="F856" s="320">
        <v>500000</v>
      </c>
    </row>
    <row r="857" spans="1:6">
      <c r="A857" s="318" t="s">
        <v>248</v>
      </c>
      <c r="B857" s="319" t="s">
        <v>1780</v>
      </c>
      <c r="C857" s="319" t="s">
        <v>1199</v>
      </c>
      <c r="D857" s="319" t="s">
        <v>1144</v>
      </c>
      <c r="E857" s="320">
        <v>500000</v>
      </c>
      <c r="F857" s="320">
        <v>500000</v>
      </c>
    </row>
    <row r="858" spans="1:6">
      <c r="A858" s="318" t="s">
        <v>210</v>
      </c>
      <c r="B858" s="319" t="s">
        <v>1780</v>
      </c>
      <c r="C858" s="319" t="s">
        <v>1199</v>
      </c>
      <c r="D858" s="319" t="s">
        <v>381</v>
      </c>
      <c r="E858" s="320">
        <v>500000</v>
      </c>
      <c r="F858" s="320">
        <v>500000</v>
      </c>
    </row>
    <row r="859" spans="1:6" ht="102">
      <c r="A859" s="318" t="s">
        <v>1186</v>
      </c>
      <c r="B859" s="319" t="s">
        <v>1187</v>
      </c>
      <c r="C859" s="319" t="s">
        <v>1173</v>
      </c>
      <c r="D859" s="319" t="s">
        <v>1173</v>
      </c>
      <c r="E859" s="320">
        <v>900000</v>
      </c>
      <c r="F859" s="320">
        <v>900000</v>
      </c>
    </row>
    <row r="860" spans="1:6" ht="38.25">
      <c r="A860" s="318" t="s">
        <v>1327</v>
      </c>
      <c r="B860" s="319" t="s">
        <v>1187</v>
      </c>
      <c r="C860" s="319" t="s">
        <v>1328</v>
      </c>
      <c r="D860" s="319" t="s">
        <v>1173</v>
      </c>
      <c r="E860" s="320">
        <v>900000</v>
      </c>
      <c r="F860" s="320">
        <v>900000</v>
      </c>
    </row>
    <row r="861" spans="1:6">
      <c r="A861" s="318" t="s">
        <v>1198</v>
      </c>
      <c r="B861" s="319" t="s">
        <v>1187</v>
      </c>
      <c r="C861" s="319" t="s">
        <v>1199</v>
      </c>
      <c r="D861" s="319" t="s">
        <v>1173</v>
      </c>
      <c r="E861" s="320">
        <v>900000</v>
      </c>
      <c r="F861" s="320">
        <v>900000</v>
      </c>
    </row>
    <row r="862" spans="1:6">
      <c r="A862" s="318" t="s">
        <v>248</v>
      </c>
      <c r="B862" s="319" t="s">
        <v>1187</v>
      </c>
      <c r="C862" s="319" t="s">
        <v>1199</v>
      </c>
      <c r="D862" s="319" t="s">
        <v>1144</v>
      </c>
      <c r="E862" s="320">
        <v>900000</v>
      </c>
      <c r="F862" s="320">
        <v>900000</v>
      </c>
    </row>
    <row r="863" spans="1:6">
      <c r="A863" s="318" t="s">
        <v>1228</v>
      </c>
      <c r="B863" s="319" t="s">
        <v>1187</v>
      </c>
      <c r="C863" s="319" t="s">
        <v>1199</v>
      </c>
      <c r="D863" s="319" t="s">
        <v>1229</v>
      </c>
      <c r="E863" s="320">
        <v>900000</v>
      </c>
      <c r="F863" s="320">
        <v>900000</v>
      </c>
    </row>
    <row r="864" spans="1:6" ht="25.5">
      <c r="A864" s="318" t="s">
        <v>477</v>
      </c>
      <c r="B864" s="319" t="s">
        <v>990</v>
      </c>
      <c r="C864" s="319" t="s">
        <v>1173</v>
      </c>
      <c r="D864" s="319" t="s">
        <v>1173</v>
      </c>
      <c r="E864" s="320">
        <v>187650</v>
      </c>
      <c r="F864" s="320">
        <v>187650</v>
      </c>
    </row>
    <row r="865" spans="1:6" ht="102">
      <c r="A865" s="318" t="s">
        <v>504</v>
      </c>
      <c r="B865" s="319" t="s">
        <v>690</v>
      </c>
      <c r="C865" s="319" t="s">
        <v>1173</v>
      </c>
      <c r="D865" s="319" t="s">
        <v>1173</v>
      </c>
      <c r="E865" s="320">
        <v>187650</v>
      </c>
      <c r="F865" s="320">
        <v>187650</v>
      </c>
    </row>
    <row r="866" spans="1:6" ht="38.25">
      <c r="A866" s="318" t="s">
        <v>1327</v>
      </c>
      <c r="B866" s="319" t="s">
        <v>690</v>
      </c>
      <c r="C866" s="319" t="s">
        <v>1328</v>
      </c>
      <c r="D866" s="319" t="s">
        <v>1173</v>
      </c>
      <c r="E866" s="320">
        <v>187650</v>
      </c>
      <c r="F866" s="320">
        <v>187650</v>
      </c>
    </row>
    <row r="867" spans="1:6">
      <c r="A867" s="318" t="s">
        <v>1198</v>
      </c>
      <c r="B867" s="319" t="s">
        <v>690</v>
      </c>
      <c r="C867" s="319" t="s">
        <v>1199</v>
      </c>
      <c r="D867" s="319" t="s">
        <v>1173</v>
      </c>
      <c r="E867" s="320">
        <v>187650</v>
      </c>
      <c r="F867" s="320">
        <v>187650</v>
      </c>
    </row>
    <row r="868" spans="1:6">
      <c r="A868" s="318" t="s">
        <v>248</v>
      </c>
      <c r="B868" s="319" t="s">
        <v>690</v>
      </c>
      <c r="C868" s="319" t="s">
        <v>1199</v>
      </c>
      <c r="D868" s="319" t="s">
        <v>1144</v>
      </c>
      <c r="E868" s="320">
        <v>187650</v>
      </c>
      <c r="F868" s="320">
        <v>187650</v>
      </c>
    </row>
    <row r="869" spans="1:6">
      <c r="A869" s="318" t="s">
        <v>210</v>
      </c>
      <c r="B869" s="319" t="s">
        <v>690</v>
      </c>
      <c r="C869" s="319" t="s">
        <v>1199</v>
      </c>
      <c r="D869" s="319" t="s">
        <v>381</v>
      </c>
      <c r="E869" s="320">
        <v>187650</v>
      </c>
      <c r="F869" s="320">
        <v>187650</v>
      </c>
    </row>
    <row r="870" spans="1:6" ht="51">
      <c r="A870" s="318" t="s">
        <v>1239</v>
      </c>
      <c r="B870" s="319" t="s">
        <v>991</v>
      </c>
      <c r="C870" s="319" t="s">
        <v>1173</v>
      </c>
      <c r="D870" s="319" t="s">
        <v>1173</v>
      </c>
      <c r="E870" s="320">
        <v>2590000</v>
      </c>
      <c r="F870" s="320">
        <v>2590000</v>
      </c>
    </row>
    <row r="871" spans="1:6" ht="38.25">
      <c r="A871" s="318" t="s">
        <v>480</v>
      </c>
      <c r="B871" s="319" t="s">
        <v>992</v>
      </c>
      <c r="C871" s="319" t="s">
        <v>1173</v>
      </c>
      <c r="D871" s="319" t="s">
        <v>1173</v>
      </c>
      <c r="E871" s="320">
        <v>2587000</v>
      </c>
      <c r="F871" s="320">
        <v>2587000</v>
      </c>
    </row>
    <row r="872" spans="1:6" ht="127.5">
      <c r="A872" s="318" t="s">
        <v>1309</v>
      </c>
      <c r="B872" s="319" t="s">
        <v>672</v>
      </c>
      <c r="C872" s="319" t="s">
        <v>1173</v>
      </c>
      <c r="D872" s="319" t="s">
        <v>1173</v>
      </c>
      <c r="E872" s="320">
        <v>10000</v>
      </c>
      <c r="F872" s="320">
        <v>10000</v>
      </c>
    </row>
    <row r="873" spans="1:6" ht="38.25">
      <c r="A873" s="318" t="s">
        <v>1319</v>
      </c>
      <c r="B873" s="319" t="s">
        <v>672</v>
      </c>
      <c r="C873" s="319" t="s">
        <v>1320</v>
      </c>
      <c r="D873" s="319" t="s">
        <v>1173</v>
      </c>
      <c r="E873" s="320">
        <v>10000</v>
      </c>
      <c r="F873" s="320">
        <v>10000</v>
      </c>
    </row>
    <row r="874" spans="1:6" ht="38.25">
      <c r="A874" s="318" t="s">
        <v>1196</v>
      </c>
      <c r="B874" s="319" t="s">
        <v>672</v>
      </c>
      <c r="C874" s="319" t="s">
        <v>1197</v>
      </c>
      <c r="D874" s="319" t="s">
        <v>1173</v>
      </c>
      <c r="E874" s="320">
        <v>10000</v>
      </c>
      <c r="F874" s="320">
        <v>10000</v>
      </c>
    </row>
    <row r="875" spans="1:6">
      <c r="A875" s="318" t="s">
        <v>183</v>
      </c>
      <c r="B875" s="319" t="s">
        <v>672</v>
      </c>
      <c r="C875" s="319" t="s">
        <v>1197</v>
      </c>
      <c r="D875" s="319" t="s">
        <v>1140</v>
      </c>
      <c r="E875" s="320">
        <v>10000</v>
      </c>
      <c r="F875" s="320">
        <v>10000</v>
      </c>
    </row>
    <row r="876" spans="1:6" ht="25.5">
      <c r="A876" s="318" t="s">
        <v>145</v>
      </c>
      <c r="B876" s="319" t="s">
        <v>672</v>
      </c>
      <c r="C876" s="319" t="s">
        <v>1197</v>
      </c>
      <c r="D876" s="319" t="s">
        <v>360</v>
      </c>
      <c r="E876" s="320">
        <v>10000</v>
      </c>
      <c r="F876" s="320">
        <v>10000</v>
      </c>
    </row>
    <row r="877" spans="1:6" ht="140.25">
      <c r="A877" s="318" t="s">
        <v>1513</v>
      </c>
      <c r="B877" s="319" t="s">
        <v>1344</v>
      </c>
      <c r="C877" s="319" t="s">
        <v>1173</v>
      </c>
      <c r="D877" s="319" t="s">
        <v>1173</v>
      </c>
      <c r="E877" s="320">
        <v>2577000</v>
      </c>
      <c r="F877" s="320">
        <v>2577000</v>
      </c>
    </row>
    <row r="878" spans="1:6">
      <c r="A878" s="318" t="s">
        <v>1321</v>
      </c>
      <c r="B878" s="319" t="s">
        <v>1344</v>
      </c>
      <c r="C878" s="319" t="s">
        <v>1322</v>
      </c>
      <c r="D878" s="319" t="s">
        <v>1173</v>
      </c>
      <c r="E878" s="320">
        <v>2577000</v>
      </c>
      <c r="F878" s="320">
        <v>2577000</v>
      </c>
    </row>
    <row r="879" spans="1:6" ht="63.75">
      <c r="A879" s="318" t="s">
        <v>1206</v>
      </c>
      <c r="B879" s="319" t="s">
        <v>1344</v>
      </c>
      <c r="C879" s="319" t="s">
        <v>354</v>
      </c>
      <c r="D879" s="319" t="s">
        <v>1173</v>
      </c>
      <c r="E879" s="320">
        <v>2577000</v>
      </c>
      <c r="F879" s="320">
        <v>2577000</v>
      </c>
    </row>
    <row r="880" spans="1:6">
      <c r="A880" s="318" t="s">
        <v>183</v>
      </c>
      <c r="B880" s="319" t="s">
        <v>1344</v>
      </c>
      <c r="C880" s="319" t="s">
        <v>354</v>
      </c>
      <c r="D880" s="319" t="s">
        <v>1140</v>
      </c>
      <c r="E880" s="320">
        <v>2577000</v>
      </c>
      <c r="F880" s="320">
        <v>2577000</v>
      </c>
    </row>
    <row r="881" spans="1:6" ht="25.5">
      <c r="A881" s="318" t="s">
        <v>145</v>
      </c>
      <c r="B881" s="319" t="s">
        <v>1344</v>
      </c>
      <c r="C881" s="319" t="s">
        <v>354</v>
      </c>
      <c r="D881" s="319" t="s">
        <v>360</v>
      </c>
      <c r="E881" s="320">
        <v>2577000</v>
      </c>
      <c r="F881" s="320">
        <v>2577000</v>
      </c>
    </row>
    <row r="882" spans="1:6" ht="38.25">
      <c r="A882" s="318" t="s">
        <v>447</v>
      </c>
      <c r="B882" s="319" t="s">
        <v>1310</v>
      </c>
      <c r="C882" s="319" t="s">
        <v>1173</v>
      </c>
      <c r="D882" s="319" t="s">
        <v>1173</v>
      </c>
      <c r="E882" s="320">
        <v>3000</v>
      </c>
      <c r="F882" s="320">
        <v>3000</v>
      </c>
    </row>
    <row r="883" spans="1:6" ht="127.5">
      <c r="A883" s="318" t="s">
        <v>1311</v>
      </c>
      <c r="B883" s="319" t="s">
        <v>1312</v>
      </c>
      <c r="C883" s="319" t="s">
        <v>1173</v>
      </c>
      <c r="D883" s="319" t="s">
        <v>1173</v>
      </c>
      <c r="E883" s="320">
        <v>3000</v>
      </c>
      <c r="F883" s="320">
        <v>3000</v>
      </c>
    </row>
    <row r="884" spans="1:6" ht="38.25">
      <c r="A884" s="318" t="s">
        <v>1319</v>
      </c>
      <c r="B884" s="319" t="s">
        <v>1312</v>
      </c>
      <c r="C884" s="319" t="s">
        <v>1320</v>
      </c>
      <c r="D884" s="319" t="s">
        <v>1173</v>
      </c>
      <c r="E884" s="320">
        <v>3000</v>
      </c>
      <c r="F884" s="320">
        <v>3000</v>
      </c>
    </row>
    <row r="885" spans="1:6" ht="38.25">
      <c r="A885" s="318" t="s">
        <v>1196</v>
      </c>
      <c r="B885" s="319" t="s">
        <v>1312</v>
      </c>
      <c r="C885" s="319" t="s">
        <v>1197</v>
      </c>
      <c r="D885" s="319" t="s">
        <v>1173</v>
      </c>
      <c r="E885" s="320">
        <v>3000</v>
      </c>
      <c r="F885" s="320">
        <v>3000</v>
      </c>
    </row>
    <row r="886" spans="1:6">
      <c r="A886" s="318" t="s">
        <v>183</v>
      </c>
      <c r="B886" s="319" t="s">
        <v>1312</v>
      </c>
      <c r="C886" s="319" t="s">
        <v>1197</v>
      </c>
      <c r="D886" s="319" t="s">
        <v>1140</v>
      </c>
      <c r="E886" s="320">
        <v>3000</v>
      </c>
      <c r="F886" s="320">
        <v>3000</v>
      </c>
    </row>
    <row r="887" spans="1:6" ht="25.5">
      <c r="A887" s="318" t="s">
        <v>145</v>
      </c>
      <c r="B887" s="319" t="s">
        <v>1312</v>
      </c>
      <c r="C887" s="319" t="s">
        <v>1197</v>
      </c>
      <c r="D887" s="319" t="s">
        <v>360</v>
      </c>
      <c r="E887" s="320">
        <v>3000</v>
      </c>
      <c r="F887" s="320">
        <v>3000</v>
      </c>
    </row>
    <row r="888" spans="1:6" ht="38.25">
      <c r="A888" s="318" t="s">
        <v>483</v>
      </c>
      <c r="B888" s="319" t="s">
        <v>993</v>
      </c>
      <c r="C888" s="319" t="s">
        <v>1173</v>
      </c>
      <c r="D888" s="319" t="s">
        <v>1173</v>
      </c>
      <c r="E888" s="320">
        <v>59540450</v>
      </c>
      <c r="F888" s="320">
        <v>72542550</v>
      </c>
    </row>
    <row r="889" spans="1:6" ht="25.5">
      <c r="A889" s="318" t="s">
        <v>484</v>
      </c>
      <c r="B889" s="319" t="s">
        <v>994</v>
      </c>
      <c r="C889" s="319" t="s">
        <v>1173</v>
      </c>
      <c r="D889" s="319" t="s">
        <v>1173</v>
      </c>
      <c r="E889" s="320">
        <v>5054050</v>
      </c>
      <c r="F889" s="320">
        <v>5056150</v>
      </c>
    </row>
    <row r="890" spans="1:6" ht="63.75">
      <c r="A890" s="318" t="s">
        <v>359</v>
      </c>
      <c r="B890" s="319" t="s">
        <v>671</v>
      </c>
      <c r="C890" s="319" t="s">
        <v>1173</v>
      </c>
      <c r="D890" s="319" t="s">
        <v>1173</v>
      </c>
      <c r="E890" s="320">
        <v>153050</v>
      </c>
      <c r="F890" s="320">
        <v>155150</v>
      </c>
    </row>
    <row r="891" spans="1:6" ht="38.25">
      <c r="A891" s="318" t="s">
        <v>1319</v>
      </c>
      <c r="B891" s="319" t="s">
        <v>671</v>
      </c>
      <c r="C891" s="319" t="s">
        <v>1320</v>
      </c>
      <c r="D891" s="319" t="s">
        <v>1173</v>
      </c>
      <c r="E891" s="320">
        <v>153050</v>
      </c>
      <c r="F891" s="320">
        <v>155150</v>
      </c>
    </row>
    <row r="892" spans="1:6" ht="38.25">
      <c r="A892" s="318" t="s">
        <v>1196</v>
      </c>
      <c r="B892" s="319" t="s">
        <v>671</v>
      </c>
      <c r="C892" s="319" t="s">
        <v>1197</v>
      </c>
      <c r="D892" s="319" t="s">
        <v>1173</v>
      </c>
      <c r="E892" s="320">
        <v>153050</v>
      </c>
      <c r="F892" s="320">
        <v>155150</v>
      </c>
    </row>
    <row r="893" spans="1:6">
      <c r="A893" s="318" t="s">
        <v>183</v>
      </c>
      <c r="B893" s="319" t="s">
        <v>671</v>
      </c>
      <c r="C893" s="319" t="s">
        <v>1197</v>
      </c>
      <c r="D893" s="319" t="s">
        <v>1140</v>
      </c>
      <c r="E893" s="320">
        <v>153050</v>
      </c>
      <c r="F893" s="320">
        <v>155150</v>
      </c>
    </row>
    <row r="894" spans="1:6">
      <c r="A894" s="318" t="s">
        <v>252</v>
      </c>
      <c r="B894" s="319" t="s">
        <v>671</v>
      </c>
      <c r="C894" s="319" t="s">
        <v>1197</v>
      </c>
      <c r="D894" s="319" t="s">
        <v>358</v>
      </c>
      <c r="E894" s="320">
        <v>153050</v>
      </c>
      <c r="F894" s="320">
        <v>155150</v>
      </c>
    </row>
    <row r="895" spans="1:6" ht="89.25">
      <c r="A895" s="318" t="s">
        <v>1844</v>
      </c>
      <c r="B895" s="319" t="s">
        <v>1376</v>
      </c>
      <c r="C895" s="319" t="s">
        <v>1173</v>
      </c>
      <c r="D895" s="319" t="s">
        <v>1173</v>
      </c>
      <c r="E895" s="320">
        <v>26250</v>
      </c>
      <c r="F895" s="320">
        <v>26250</v>
      </c>
    </row>
    <row r="896" spans="1:6" ht="38.25">
      <c r="A896" s="318" t="s">
        <v>1319</v>
      </c>
      <c r="B896" s="319" t="s">
        <v>1376</v>
      </c>
      <c r="C896" s="319" t="s">
        <v>1320</v>
      </c>
      <c r="D896" s="319" t="s">
        <v>1173</v>
      </c>
      <c r="E896" s="320">
        <v>26250</v>
      </c>
      <c r="F896" s="320">
        <v>26250</v>
      </c>
    </row>
    <row r="897" spans="1:6" ht="38.25">
      <c r="A897" s="318" t="s">
        <v>1196</v>
      </c>
      <c r="B897" s="319" t="s">
        <v>1376</v>
      </c>
      <c r="C897" s="319" t="s">
        <v>1197</v>
      </c>
      <c r="D897" s="319" t="s">
        <v>1173</v>
      </c>
      <c r="E897" s="320">
        <v>26250</v>
      </c>
      <c r="F897" s="320">
        <v>26250</v>
      </c>
    </row>
    <row r="898" spans="1:6">
      <c r="A898" s="318" t="s">
        <v>183</v>
      </c>
      <c r="B898" s="319" t="s">
        <v>1376</v>
      </c>
      <c r="C898" s="319" t="s">
        <v>1197</v>
      </c>
      <c r="D898" s="319" t="s">
        <v>1140</v>
      </c>
      <c r="E898" s="320">
        <v>26250</v>
      </c>
      <c r="F898" s="320">
        <v>26250</v>
      </c>
    </row>
    <row r="899" spans="1:6">
      <c r="A899" s="318" t="s">
        <v>252</v>
      </c>
      <c r="B899" s="319" t="s">
        <v>1376</v>
      </c>
      <c r="C899" s="319" t="s">
        <v>1197</v>
      </c>
      <c r="D899" s="319" t="s">
        <v>358</v>
      </c>
      <c r="E899" s="320">
        <v>26250</v>
      </c>
      <c r="F899" s="320">
        <v>26250</v>
      </c>
    </row>
    <row r="900" spans="1:6" ht="140.25">
      <c r="A900" s="318" t="s">
        <v>2113</v>
      </c>
      <c r="B900" s="319" t="s">
        <v>1857</v>
      </c>
      <c r="C900" s="319" t="s">
        <v>1173</v>
      </c>
      <c r="D900" s="319" t="s">
        <v>1173</v>
      </c>
      <c r="E900" s="320">
        <v>4874750</v>
      </c>
      <c r="F900" s="320">
        <v>4874750</v>
      </c>
    </row>
    <row r="901" spans="1:6">
      <c r="A901" s="318" t="s">
        <v>1329</v>
      </c>
      <c r="B901" s="319" t="s">
        <v>1857</v>
      </c>
      <c r="C901" s="319" t="s">
        <v>1330</v>
      </c>
      <c r="D901" s="319" t="s">
        <v>1173</v>
      </c>
      <c r="E901" s="320">
        <v>4874750</v>
      </c>
      <c r="F901" s="320">
        <v>4874750</v>
      </c>
    </row>
    <row r="902" spans="1:6">
      <c r="A902" s="318" t="s">
        <v>68</v>
      </c>
      <c r="B902" s="319" t="s">
        <v>1857</v>
      </c>
      <c r="C902" s="319" t="s">
        <v>430</v>
      </c>
      <c r="D902" s="319" t="s">
        <v>1173</v>
      </c>
      <c r="E902" s="320">
        <v>4874750</v>
      </c>
      <c r="F902" s="320">
        <v>4874750</v>
      </c>
    </row>
    <row r="903" spans="1:6">
      <c r="A903" s="318" t="s">
        <v>183</v>
      </c>
      <c r="B903" s="319" t="s">
        <v>1857</v>
      </c>
      <c r="C903" s="319" t="s">
        <v>430</v>
      </c>
      <c r="D903" s="319" t="s">
        <v>1140</v>
      </c>
      <c r="E903" s="320">
        <v>4874750</v>
      </c>
      <c r="F903" s="320">
        <v>4874750</v>
      </c>
    </row>
    <row r="904" spans="1:6">
      <c r="A904" s="318" t="s">
        <v>252</v>
      </c>
      <c r="B904" s="319" t="s">
        <v>1857</v>
      </c>
      <c r="C904" s="319" t="s">
        <v>430</v>
      </c>
      <c r="D904" s="319" t="s">
        <v>358</v>
      </c>
      <c r="E904" s="320">
        <v>4874750</v>
      </c>
      <c r="F904" s="320">
        <v>4874750</v>
      </c>
    </row>
    <row r="905" spans="1:6" ht="25.5">
      <c r="A905" s="318" t="s">
        <v>486</v>
      </c>
      <c r="B905" s="319" t="s">
        <v>995</v>
      </c>
      <c r="C905" s="319" t="s">
        <v>1173</v>
      </c>
      <c r="D905" s="319" t="s">
        <v>1173</v>
      </c>
      <c r="E905" s="320">
        <v>54406400</v>
      </c>
      <c r="F905" s="320">
        <v>67406400</v>
      </c>
    </row>
    <row r="906" spans="1:6" ht="89.25">
      <c r="A906" s="318" t="s">
        <v>825</v>
      </c>
      <c r="B906" s="319" t="s">
        <v>951</v>
      </c>
      <c r="C906" s="319" t="s">
        <v>1173</v>
      </c>
      <c r="D906" s="319" t="s">
        <v>1173</v>
      </c>
      <c r="E906" s="320">
        <v>406400</v>
      </c>
      <c r="F906" s="320">
        <v>406400</v>
      </c>
    </row>
    <row r="907" spans="1:6">
      <c r="A907" s="318" t="s">
        <v>1321</v>
      </c>
      <c r="B907" s="319" t="s">
        <v>951</v>
      </c>
      <c r="C907" s="319" t="s">
        <v>1322</v>
      </c>
      <c r="D907" s="319" t="s">
        <v>1173</v>
      </c>
      <c r="E907" s="320">
        <v>406400</v>
      </c>
      <c r="F907" s="320">
        <v>406400</v>
      </c>
    </row>
    <row r="908" spans="1:6" ht="63.75">
      <c r="A908" s="318" t="s">
        <v>1206</v>
      </c>
      <c r="B908" s="319" t="s">
        <v>951</v>
      </c>
      <c r="C908" s="319" t="s">
        <v>354</v>
      </c>
      <c r="D908" s="319" t="s">
        <v>1173</v>
      </c>
      <c r="E908" s="320">
        <v>406400</v>
      </c>
      <c r="F908" s="320">
        <v>406400</v>
      </c>
    </row>
    <row r="909" spans="1:6">
      <c r="A909" s="318" t="s">
        <v>183</v>
      </c>
      <c r="B909" s="319" t="s">
        <v>951</v>
      </c>
      <c r="C909" s="319" t="s">
        <v>354</v>
      </c>
      <c r="D909" s="319" t="s">
        <v>1140</v>
      </c>
      <c r="E909" s="320">
        <v>406400</v>
      </c>
      <c r="F909" s="320">
        <v>406400</v>
      </c>
    </row>
    <row r="910" spans="1:6">
      <c r="A910" s="318" t="s">
        <v>185</v>
      </c>
      <c r="B910" s="319" t="s">
        <v>951</v>
      </c>
      <c r="C910" s="319" t="s">
        <v>354</v>
      </c>
      <c r="D910" s="319" t="s">
        <v>356</v>
      </c>
      <c r="E910" s="320">
        <v>406400</v>
      </c>
      <c r="F910" s="320">
        <v>406400</v>
      </c>
    </row>
    <row r="911" spans="1:6" ht="89.25">
      <c r="A911" s="318" t="s">
        <v>357</v>
      </c>
      <c r="B911" s="319" t="s">
        <v>670</v>
      </c>
      <c r="C911" s="319" t="s">
        <v>1173</v>
      </c>
      <c r="D911" s="319" t="s">
        <v>1173</v>
      </c>
      <c r="E911" s="320">
        <v>54000000</v>
      </c>
      <c r="F911" s="320">
        <v>67000000</v>
      </c>
    </row>
    <row r="912" spans="1:6">
      <c r="A912" s="318" t="s">
        <v>1321</v>
      </c>
      <c r="B912" s="319" t="s">
        <v>670</v>
      </c>
      <c r="C912" s="319" t="s">
        <v>1322</v>
      </c>
      <c r="D912" s="319" t="s">
        <v>1173</v>
      </c>
      <c r="E912" s="320">
        <v>54000000</v>
      </c>
      <c r="F912" s="320">
        <v>67000000</v>
      </c>
    </row>
    <row r="913" spans="1:6" ht="63.75">
      <c r="A913" s="318" t="s">
        <v>1206</v>
      </c>
      <c r="B913" s="319" t="s">
        <v>670</v>
      </c>
      <c r="C913" s="319" t="s">
        <v>354</v>
      </c>
      <c r="D913" s="319" t="s">
        <v>1173</v>
      </c>
      <c r="E913" s="320">
        <v>54000000</v>
      </c>
      <c r="F913" s="320">
        <v>67000000</v>
      </c>
    </row>
    <row r="914" spans="1:6">
      <c r="A914" s="318" t="s">
        <v>183</v>
      </c>
      <c r="B914" s="319" t="s">
        <v>670</v>
      </c>
      <c r="C914" s="319" t="s">
        <v>354</v>
      </c>
      <c r="D914" s="319" t="s">
        <v>1140</v>
      </c>
      <c r="E914" s="320">
        <v>54000000</v>
      </c>
      <c r="F914" s="320">
        <v>67000000</v>
      </c>
    </row>
    <row r="915" spans="1:6">
      <c r="A915" s="318" t="s">
        <v>185</v>
      </c>
      <c r="B915" s="319" t="s">
        <v>670</v>
      </c>
      <c r="C915" s="319" t="s">
        <v>354</v>
      </c>
      <c r="D915" s="319" t="s">
        <v>356</v>
      </c>
      <c r="E915" s="320">
        <v>54000000</v>
      </c>
      <c r="F915" s="320">
        <v>67000000</v>
      </c>
    </row>
    <row r="916" spans="1:6" ht="25.5">
      <c r="A916" s="318" t="s">
        <v>488</v>
      </c>
      <c r="B916" s="319" t="s">
        <v>996</v>
      </c>
      <c r="C916" s="319" t="s">
        <v>1173</v>
      </c>
      <c r="D916" s="319" t="s">
        <v>1173</v>
      </c>
      <c r="E916" s="320">
        <v>80000</v>
      </c>
      <c r="F916" s="320">
        <v>80000</v>
      </c>
    </row>
    <row r="917" spans="1:6" ht="76.5">
      <c r="A917" s="318" t="s">
        <v>407</v>
      </c>
      <c r="B917" s="319" t="s">
        <v>1732</v>
      </c>
      <c r="C917" s="319" t="s">
        <v>1173</v>
      </c>
      <c r="D917" s="319" t="s">
        <v>1173</v>
      </c>
      <c r="E917" s="320">
        <v>80000</v>
      </c>
      <c r="F917" s="320">
        <v>80000</v>
      </c>
    </row>
    <row r="918" spans="1:6" ht="38.25">
      <c r="A918" s="318" t="s">
        <v>1327</v>
      </c>
      <c r="B918" s="319" t="s">
        <v>1732</v>
      </c>
      <c r="C918" s="319" t="s">
        <v>1328</v>
      </c>
      <c r="D918" s="319" t="s">
        <v>1173</v>
      </c>
      <c r="E918" s="320">
        <v>80000</v>
      </c>
      <c r="F918" s="320">
        <v>80000</v>
      </c>
    </row>
    <row r="919" spans="1:6">
      <c r="A919" s="318" t="s">
        <v>1198</v>
      </c>
      <c r="B919" s="319" t="s">
        <v>1732</v>
      </c>
      <c r="C919" s="319" t="s">
        <v>1199</v>
      </c>
      <c r="D919" s="319" t="s">
        <v>1173</v>
      </c>
      <c r="E919" s="320">
        <v>80000</v>
      </c>
      <c r="F919" s="320">
        <v>80000</v>
      </c>
    </row>
    <row r="920" spans="1:6">
      <c r="A920" s="318" t="s">
        <v>140</v>
      </c>
      <c r="B920" s="319" t="s">
        <v>1732</v>
      </c>
      <c r="C920" s="319" t="s">
        <v>1199</v>
      </c>
      <c r="D920" s="319" t="s">
        <v>1142</v>
      </c>
      <c r="E920" s="320">
        <v>80000</v>
      </c>
      <c r="F920" s="320">
        <v>80000</v>
      </c>
    </row>
    <row r="921" spans="1:6">
      <c r="A921" s="318" t="s">
        <v>1077</v>
      </c>
      <c r="B921" s="319" t="s">
        <v>1732</v>
      </c>
      <c r="C921" s="319" t="s">
        <v>1199</v>
      </c>
      <c r="D921" s="319" t="s">
        <v>1078</v>
      </c>
      <c r="E921" s="320">
        <v>80000</v>
      </c>
      <c r="F921" s="320">
        <v>80000</v>
      </c>
    </row>
    <row r="922" spans="1:6" ht="38.25">
      <c r="A922" s="318" t="s">
        <v>596</v>
      </c>
      <c r="B922" s="319" t="s">
        <v>997</v>
      </c>
      <c r="C922" s="319" t="s">
        <v>1173</v>
      </c>
      <c r="D922" s="319" t="s">
        <v>1173</v>
      </c>
      <c r="E922" s="320">
        <v>960000</v>
      </c>
      <c r="F922" s="320">
        <v>960000</v>
      </c>
    </row>
    <row r="923" spans="1:6" ht="38.25">
      <c r="A923" s="318" t="s">
        <v>597</v>
      </c>
      <c r="B923" s="319" t="s">
        <v>998</v>
      </c>
      <c r="C923" s="319" t="s">
        <v>1173</v>
      </c>
      <c r="D923" s="319" t="s">
        <v>1173</v>
      </c>
      <c r="E923" s="320">
        <v>960000</v>
      </c>
      <c r="F923" s="320">
        <v>960000</v>
      </c>
    </row>
    <row r="924" spans="1:6" ht="89.25">
      <c r="A924" s="318" t="s">
        <v>528</v>
      </c>
      <c r="B924" s="319" t="s">
        <v>736</v>
      </c>
      <c r="C924" s="319" t="s">
        <v>1173</v>
      </c>
      <c r="D924" s="319" t="s">
        <v>1173</v>
      </c>
      <c r="E924" s="320">
        <v>960000</v>
      </c>
      <c r="F924" s="320">
        <v>960000</v>
      </c>
    </row>
    <row r="925" spans="1:6" ht="25.5">
      <c r="A925" s="318" t="s">
        <v>1323</v>
      </c>
      <c r="B925" s="319" t="s">
        <v>736</v>
      </c>
      <c r="C925" s="319" t="s">
        <v>1324</v>
      </c>
      <c r="D925" s="319" t="s">
        <v>1173</v>
      </c>
      <c r="E925" s="320">
        <v>960000</v>
      </c>
      <c r="F925" s="320">
        <v>960000</v>
      </c>
    </row>
    <row r="926" spans="1:6">
      <c r="A926" s="318" t="s">
        <v>531</v>
      </c>
      <c r="B926" s="319" t="s">
        <v>736</v>
      </c>
      <c r="C926" s="319" t="s">
        <v>532</v>
      </c>
      <c r="D926" s="319" t="s">
        <v>1173</v>
      </c>
      <c r="E926" s="320">
        <v>960000</v>
      </c>
      <c r="F926" s="320">
        <v>960000</v>
      </c>
    </row>
    <row r="927" spans="1:6" ht="25.5">
      <c r="A927" s="318" t="s">
        <v>239</v>
      </c>
      <c r="B927" s="319" t="s">
        <v>736</v>
      </c>
      <c r="C927" s="319" t="s">
        <v>532</v>
      </c>
      <c r="D927" s="319" t="s">
        <v>1141</v>
      </c>
      <c r="E927" s="320">
        <v>960000</v>
      </c>
      <c r="F927" s="320">
        <v>960000</v>
      </c>
    </row>
    <row r="928" spans="1:6">
      <c r="A928" s="318" t="s">
        <v>3</v>
      </c>
      <c r="B928" s="319" t="s">
        <v>736</v>
      </c>
      <c r="C928" s="319" t="s">
        <v>532</v>
      </c>
      <c r="D928" s="319" t="s">
        <v>386</v>
      </c>
      <c r="E928" s="320">
        <v>960000</v>
      </c>
      <c r="F928" s="320">
        <v>960000</v>
      </c>
    </row>
    <row r="929" spans="1:6" ht="38.25">
      <c r="A929" s="318" t="s">
        <v>1371</v>
      </c>
      <c r="B929" s="319" t="s">
        <v>999</v>
      </c>
      <c r="C929" s="319" t="s">
        <v>1173</v>
      </c>
      <c r="D929" s="319" t="s">
        <v>1173</v>
      </c>
      <c r="E929" s="320">
        <v>107097878</v>
      </c>
      <c r="F929" s="320">
        <v>107306678</v>
      </c>
    </row>
    <row r="930" spans="1:6" ht="76.5">
      <c r="A930" s="318" t="s">
        <v>1374</v>
      </c>
      <c r="B930" s="319" t="s">
        <v>1000</v>
      </c>
      <c r="C930" s="319" t="s">
        <v>1173</v>
      </c>
      <c r="D930" s="319" t="s">
        <v>1173</v>
      </c>
      <c r="E930" s="320">
        <v>86901000</v>
      </c>
      <c r="F930" s="320">
        <v>87109800</v>
      </c>
    </row>
    <row r="931" spans="1:6" ht="140.25">
      <c r="A931" s="318" t="s">
        <v>1964</v>
      </c>
      <c r="B931" s="319" t="s">
        <v>796</v>
      </c>
      <c r="C931" s="319" t="s">
        <v>1173</v>
      </c>
      <c r="D931" s="319" t="s">
        <v>1173</v>
      </c>
      <c r="E931" s="320">
        <v>5633700</v>
      </c>
      <c r="F931" s="320">
        <v>5842500</v>
      </c>
    </row>
    <row r="932" spans="1:6">
      <c r="A932" s="318" t="s">
        <v>1329</v>
      </c>
      <c r="B932" s="319" t="s">
        <v>796</v>
      </c>
      <c r="C932" s="319" t="s">
        <v>1330</v>
      </c>
      <c r="D932" s="319" t="s">
        <v>1173</v>
      </c>
      <c r="E932" s="320">
        <v>5633700</v>
      </c>
      <c r="F932" s="320">
        <v>5842500</v>
      </c>
    </row>
    <row r="933" spans="1:6">
      <c r="A933" s="318" t="s">
        <v>434</v>
      </c>
      <c r="B933" s="319" t="s">
        <v>796</v>
      </c>
      <c r="C933" s="319" t="s">
        <v>435</v>
      </c>
      <c r="D933" s="319" t="s">
        <v>1173</v>
      </c>
      <c r="E933" s="320">
        <v>5633700</v>
      </c>
      <c r="F933" s="320">
        <v>5842500</v>
      </c>
    </row>
    <row r="934" spans="1:6">
      <c r="A934" s="318" t="s">
        <v>187</v>
      </c>
      <c r="B934" s="319" t="s">
        <v>796</v>
      </c>
      <c r="C934" s="319" t="s">
        <v>435</v>
      </c>
      <c r="D934" s="319" t="s">
        <v>1154</v>
      </c>
      <c r="E934" s="320">
        <v>5633700</v>
      </c>
      <c r="F934" s="320">
        <v>5842500</v>
      </c>
    </row>
    <row r="935" spans="1:6" ht="25.5">
      <c r="A935" s="318" t="s">
        <v>188</v>
      </c>
      <c r="B935" s="319" t="s">
        <v>796</v>
      </c>
      <c r="C935" s="319" t="s">
        <v>435</v>
      </c>
      <c r="D935" s="319" t="s">
        <v>433</v>
      </c>
      <c r="E935" s="320">
        <v>5633700</v>
      </c>
      <c r="F935" s="320">
        <v>5842500</v>
      </c>
    </row>
    <row r="936" spans="1:6" ht="165.75">
      <c r="A936" s="318" t="s">
        <v>1479</v>
      </c>
      <c r="B936" s="319" t="s">
        <v>794</v>
      </c>
      <c r="C936" s="319" t="s">
        <v>1173</v>
      </c>
      <c r="D936" s="319" t="s">
        <v>1173</v>
      </c>
      <c r="E936" s="320">
        <v>302500</v>
      </c>
      <c r="F936" s="320">
        <v>302500</v>
      </c>
    </row>
    <row r="937" spans="1:6">
      <c r="A937" s="318" t="s">
        <v>1329</v>
      </c>
      <c r="B937" s="319" t="s">
        <v>794</v>
      </c>
      <c r="C937" s="319" t="s">
        <v>1330</v>
      </c>
      <c r="D937" s="319" t="s">
        <v>1173</v>
      </c>
      <c r="E937" s="320">
        <v>302500</v>
      </c>
      <c r="F937" s="320">
        <v>302500</v>
      </c>
    </row>
    <row r="938" spans="1:6">
      <c r="A938" s="318" t="s">
        <v>434</v>
      </c>
      <c r="B938" s="319" t="s">
        <v>794</v>
      </c>
      <c r="C938" s="319" t="s">
        <v>435</v>
      </c>
      <c r="D938" s="319" t="s">
        <v>1173</v>
      </c>
      <c r="E938" s="320">
        <v>302500</v>
      </c>
      <c r="F938" s="320">
        <v>302500</v>
      </c>
    </row>
    <row r="939" spans="1:6">
      <c r="A939" s="318" t="s">
        <v>234</v>
      </c>
      <c r="B939" s="319" t="s">
        <v>794</v>
      </c>
      <c r="C939" s="319" t="s">
        <v>435</v>
      </c>
      <c r="D939" s="319" t="s">
        <v>1135</v>
      </c>
      <c r="E939" s="320">
        <v>302500</v>
      </c>
      <c r="F939" s="320">
        <v>302500</v>
      </c>
    </row>
    <row r="940" spans="1:6">
      <c r="A940" s="318" t="s">
        <v>217</v>
      </c>
      <c r="B940" s="319" t="s">
        <v>794</v>
      </c>
      <c r="C940" s="319" t="s">
        <v>435</v>
      </c>
      <c r="D940" s="319" t="s">
        <v>337</v>
      </c>
      <c r="E940" s="320">
        <v>302500</v>
      </c>
      <c r="F940" s="320">
        <v>302500</v>
      </c>
    </row>
    <row r="941" spans="1:6" ht="178.5">
      <c r="A941" s="318" t="s">
        <v>1377</v>
      </c>
      <c r="B941" s="319" t="s">
        <v>801</v>
      </c>
      <c r="C941" s="319" t="s">
        <v>1173</v>
      </c>
      <c r="D941" s="319" t="s">
        <v>1173</v>
      </c>
      <c r="E941" s="320">
        <v>37664800</v>
      </c>
      <c r="F941" s="320">
        <v>37664800</v>
      </c>
    </row>
    <row r="942" spans="1:6">
      <c r="A942" s="318" t="s">
        <v>1329</v>
      </c>
      <c r="B942" s="319" t="s">
        <v>801</v>
      </c>
      <c r="C942" s="319" t="s">
        <v>1330</v>
      </c>
      <c r="D942" s="319" t="s">
        <v>1173</v>
      </c>
      <c r="E942" s="320">
        <v>37664800</v>
      </c>
      <c r="F942" s="320">
        <v>37664800</v>
      </c>
    </row>
    <row r="943" spans="1:6">
      <c r="A943" s="318" t="s">
        <v>1208</v>
      </c>
      <c r="B943" s="319" t="s">
        <v>801</v>
      </c>
      <c r="C943" s="319" t="s">
        <v>1209</v>
      </c>
      <c r="D943" s="319" t="s">
        <v>1173</v>
      </c>
      <c r="E943" s="320">
        <v>37664800</v>
      </c>
      <c r="F943" s="320">
        <v>37664800</v>
      </c>
    </row>
    <row r="944" spans="1:6" ht="51">
      <c r="A944" s="318" t="s">
        <v>1155</v>
      </c>
      <c r="B944" s="319" t="s">
        <v>801</v>
      </c>
      <c r="C944" s="319" t="s">
        <v>1209</v>
      </c>
      <c r="D944" s="319" t="s">
        <v>1156</v>
      </c>
      <c r="E944" s="320">
        <v>37664800</v>
      </c>
      <c r="F944" s="320">
        <v>37664800</v>
      </c>
    </row>
    <row r="945" spans="1:6" ht="51">
      <c r="A945" s="318" t="s">
        <v>211</v>
      </c>
      <c r="B945" s="319" t="s">
        <v>801</v>
      </c>
      <c r="C945" s="319" t="s">
        <v>1209</v>
      </c>
      <c r="D945" s="319" t="s">
        <v>437</v>
      </c>
      <c r="E945" s="320">
        <v>37664800</v>
      </c>
      <c r="F945" s="320">
        <v>37664800</v>
      </c>
    </row>
    <row r="946" spans="1:6" ht="140.25">
      <c r="A946" s="318" t="s">
        <v>1486</v>
      </c>
      <c r="B946" s="319" t="s">
        <v>803</v>
      </c>
      <c r="C946" s="319" t="s">
        <v>1173</v>
      </c>
      <c r="D946" s="319" t="s">
        <v>1173</v>
      </c>
      <c r="E946" s="320">
        <v>18140000</v>
      </c>
      <c r="F946" s="320">
        <v>18140000</v>
      </c>
    </row>
    <row r="947" spans="1:6">
      <c r="A947" s="318" t="s">
        <v>1329</v>
      </c>
      <c r="B947" s="319" t="s">
        <v>803</v>
      </c>
      <c r="C947" s="319" t="s">
        <v>1330</v>
      </c>
      <c r="D947" s="319" t="s">
        <v>1173</v>
      </c>
      <c r="E947" s="320">
        <v>18140000</v>
      </c>
      <c r="F947" s="320">
        <v>18140000</v>
      </c>
    </row>
    <row r="948" spans="1:6">
      <c r="A948" s="318" t="s">
        <v>68</v>
      </c>
      <c r="B948" s="319" t="s">
        <v>803</v>
      </c>
      <c r="C948" s="319" t="s">
        <v>430</v>
      </c>
      <c r="D948" s="319" t="s">
        <v>1173</v>
      </c>
      <c r="E948" s="320">
        <v>18140000</v>
      </c>
      <c r="F948" s="320">
        <v>18140000</v>
      </c>
    </row>
    <row r="949" spans="1:6" ht="51">
      <c r="A949" s="318" t="s">
        <v>1155</v>
      </c>
      <c r="B949" s="319" t="s">
        <v>803</v>
      </c>
      <c r="C949" s="319" t="s">
        <v>430</v>
      </c>
      <c r="D949" s="319" t="s">
        <v>1156</v>
      </c>
      <c r="E949" s="320">
        <v>18140000</v>
      </c>
      <c r="F949" s="320">
        <v>18140000</v>
      </c>
    </row>
    <row r="950" spans="1:6" ht="25.5">
      <c r="A950" s="318" t="s">
        <v>250</v>
      </c>
      <c r="B950" s="319" t="s">
        <v>803</v>
      </c>
      <c r="C950" s="319" t="s">
        <v>430</v>
      </c>
      <c r="D950" s="319" t="s">
        <v>439</v>
      </c>
      <c r="E950" s="320">
        <v>18140000</v>
      </c>
      <c r="F950" s="320">
        <v>18140000</v>
      </c>
    </row>
    <row r="951" spans="1:6" ht="127.5">
      <c r="A951" s="318" t="s">
        <v>540</v>
      </c>
      <c r="B951" s="319" t="s">
        <v>802</v>
      </c>
      <c r="C951" s="319" t="s">
        <v>1173</v>
      </c>
      <c r="D951" s="319" t="s">
        <v>1173</v>
      </c>
      <c r="E951" s="320">
        <v>25160000</v>
      </c>
      <c r="F951" s="320">
        <v>25160000</v>
      </c>
    </row>
    <row r="952" spans="1:6">
      <c r="A952" s="318" t="s">
        <v>1329</v>
      </c>
      <c r="B952" s="319" t="s">
        <v>802</v>
      </c>
      <c r="C952" s="319" t="s">
        <v>1330</v>
      </c>
      <c r="D952" s="319" t="s">
        <v>1173</v>
      </c>
      <c r="E952" s="320">
        <v>25160000</v>
      </c>
      <c r="F952" s="320">
        <v>25160000</v>
      </c>
    </row>
    <row r="953" spans="1:6">
      <c r="A953" s="318" t="s">
        <v>1208</v>
      </c>
      <c r="B953" s="319" t="s">
        <v>802</v>
      </c>
      <c r="C953" s="319" t="s">
        <v>1209</v>
      </c>
      <c r="D953" s="319" t="s">
        <v>1173</v>
      </c>
      <c r="E953" s="320">
        <v>25160000</v>
      </c>
      <c r="F953" s="320">
        <v>25160000</v>
      </c>
    </row>
    <row r="954" spans="1:6" ht="51">
      <c r="A954" s="318" t="s">
        <v>1155</v>
      </c>
      <c r="B954" s="319" t="s">
        <v>802</v>
      </c>
      <c r="C954" s="319" t="s">
        <v>1209</v>
      </c>
      <c r="D954" s="319" t="s">
        <v>1156</v>
      </c>
      <c r="E954" s="320">
        <v>25160000</v>
      </c>
      <c r="F954" s="320">
        <v>25160000</v>
      </c>
    </row>
    <row r="955" spans="1:6" ht="51">
      <c r="A955" s="318" t="s">
        <v>211</v>
      </c>
      <c r="B955" s="319" t="s">
        <v>802</v>
      </c>
      <c r="C955" s="319" t="s">
        <v>1209</v>
      </c>
      <c r="D955" s="319" t="s">
        <v>437</v>
      </c>
      <c r="E955" s="320">
        <v>25160000</v>
      </c>
      <c r="F955" s="320">
        <v>25160000</v>
      </c>
    </row>
    <row r="956" spans="1:6" ht="25.5">
      <c r="A956" s="318" t="s">
        <v>492</v>
      </c>
      <c r="B956" s="319" t="s">
        <v>1001</v>
      </c>
      <c r="C956" s="319" t="s">
        <v>1173</v>
      </c>
      <c r="D956" s="319" t="s">
        <v>1173</v>
      </c>
      <c r="E956" s="320">
        <v>20196878</v>
      </c>
      <c r="F956" s="320">
        <v>20196878</v>
      </c>
    </row>
    <row r="957" spans="1:6" ht="89.25">
      <c r="A957" s="318" t="s">
        <v>425</v>
      </c>
      <c r="B957" s="319" t="s">
        <v>788</v>
      </c>
      <c r="C957" s="319" t="s">
        <v>1173</v>
      </c>
      <c r="D957" s="319" t="s">
        <v>1173</v>
      </c>
      <c r="E957" s="320">
        <v>15857762</v>
      </c>
      <c r="F957" s="320">
        <v>15857762</v>
      </c>
    </row>
    <row r="958" spans="1:6" ht="76.5">
      <c r="A958" s="318" t="s">
        <v>1318</v>
      </c>
      <c r="B958" s="319" t="s">
        <v>788</v>
      </c>
      <c r="C958" s="319" t="s">
        <v>273</v>
      </c>
      <c r="D958" s="319" t="s">
        <v>1173</v>
      </c>
      <c r="E958" s="320">
        <v>14124968</v>
      </c>
      <c r="F958" s="320">
        <v>14124968</v>
      </c>
    </row>
    <row r="959" spans="1:6" ht="38.25">
      <c r="A959" s="318" t="s">
        <v>1203</v>
      </c>
      <c r="B959" s="319" t="s">
        <v>788</v>
      </c>
      <c r="C959" s="319" t="s">
        <v>28</v>
      </c>
      <c r="D959" s="319" t="s">
        <v>1173</v>
      </c>
      <c r="E959" s="320">
        <v>14124968</v>
      </c>
      <c r="F959" s="320">
        <v>14124968</v>
      </c>
    </row>
    <row r="960" spans="1:6">
      <c r="A960" s="318" t="s">
        <v>234</v>
      </c>
      <c r="B960" s="319" t="s">
        <v>788</v>
      </c>
      <c r="C960" s="319" t="s">
        <v>28</v>
      </c>
      <c r="D960" s="319" t="s">
        <v>1135</v>
      </c>
      <c r="E960" s="320">
        <v>14124968</v>
      </c>
      <c r="F960" s="320">
        <v>14124968</v>
      </c>
    </row>
    <row r="961" spans="1:6" ht="51">
      <c r="A961" s="318" t="s">
        <v>216</v>
      </c>
      <c r="B961" s="319" t="s">
        <v>788</v>
      </c>
      <c r="C961" s="319" t="s">
        <v>28</v>
      </c>
      <c r="D961" s="319" t="s">
        <v>331</v>
      </c>
      <c r="E961" s="320">
        <v>14124968</v>
      </c>
      <c r="F961" s="320">
        <v>14124968</v>
      </c>
    </row>
    <row r="962" spans="1:6" ht="38.25">
      <c r="A962" s="318" t="s">
        <v>1319</v>
      </c>
      <c r="B962" s="319" t="s">
        <v>788</v>
      </c>
      <c r="C962" s="319" t="s">
        <v>1320</v>
      </c>
      <c r="D962" s="319" t="s">
        <v>1173</v>
      </c>
      <c r="E962" s="320">
        <v>1720294</v>
      </c>
      <c r="F962" s="320">
        <v>1720294</v>
      </c>
    </row>
    <row r="963" spans="1:6" ht="38.25">
      <c r="A963" s="318" t="s">
        <v>1196</v>
      </c>
      <c r="B963" s="319" t="s">
        <v>788</v>
      </c>
      <c r="C963" s="319" t="s">
        <v>1197</v>
      </c>
      <c r="D963" s="319" t="s">
        <v>1173</v>
      </c>
      <c r="E963" s="320">
        <v>1720294</v>
      </c>
      <c r="F963" s="320">
        <v>1720294</v>
      </c>
    </row>
    <row r="964" spans="1:6">
      <c r="A964" s="318" t="s">
        <v>234</v>
      </c>
      <c r="B964" s="319" t="s">
        <v>788</v>
      </c>
      <c r="C964" s="319" t="s">
        <v>1197</v>
      </c>
      <c r="D964" s="319" t="s">
        <v>1135</v>
      </c>
      <c r="E964" s="320">
        <v>1720294</v>
      </c>
      <c r="F964" s="320">
        <v>1720294</v>
      </c>
    </row>
    <row r="965" spans="1:6" ht="51">
      <c r="A965" s="318" t="s">
        <v>216</v>
      </c>
      <c r="B965" s="319" t="s">
        <v>788</v>
      </c>
      <c r="C965" s="319" t="s">
        <v>1197</v>
      </c>
      <c r="D965" s="319" t="s">
        <v>331</v>
      </c>
      <c r="E965" s="320">
        <v>1720294</v>
      </c>
      <c r="F965" s="320">
        <v>1720294</v>
      </c>
    </row>
    <row r="966" spans="1:6">
      <c r="A966" s="318" t="s">
        <v>1321</v>
      </c>
      <c r="B966" s="319" t="s">
        <v>788</v>
      </c>
      <c r="C966" s="319" t="s">
        <v>1322</v>
      </c>
      <c r="D966" s="319" t="s">
        <v>1173</v>
      </c>
      <c r="E966" s="320">
        <v>12500</v>
      </c>
      <c r="F966" s="320">
        <v>12500</v>
      </c>
    </row>
    <row r="967" spans="1:6">
      <c r="A967" s="318" t="s">
        <v>1201</v>
      </c>
      <c r="B967" s="319" t="s">
        <v>788</v>
      </c>
      <c r="C967" s="319" t="s">
        <v>1202</v>
      </c>
      <c r="D967" s="319" t="s">
        <v>1173</v>
      </c>
      <c r="E967" s="320">
        <v>12500</v>
      </c>
      <c r="F967" s="320">
        <v>12500</v>
      </c>
    </row>
    <row r="968" spans="1:6">
      <c r="A968" s="318" t="s">
        <v>234</v>
      </c>
      <c r="B968" s="319" t="s">
        <v>788</v>
      </c>
      <c r="C968" s="319" t="s">
        <v>1202</v>
      </c>
      <c r="D968" s="319" t="s">
        <v>1135</v>
      </c>
      <c r="E968" s="320">
        <v>12500</v>
      </c>
      <c r="F968" s="320">
        <v>12500</v>
      </c>
    </row>
    <row r="969" spans="1:6" ht="51">
      <c r="A969" s="318" t="s">
        <v>216</v>
      </c>
      <c r="B969" s="319" t="s">
        <v>788</v>
      </c>
      <c r="C969" s="319" t="s">
        <v>1202</v>
      </c>
      <c r="D969" s="319" t="s">
        <v>331</v>
      </c>
      <c r="E969" s="320">
        <v>12500</v>
      </c>
      <c r="F969" s="320">
        <v>12500</v>
      </c>
    </row>
    <row r="970" spans="1:6" ht="127.5">
      <c r="A970" s="318" t="s">
        <v>535</v>
      </c>
      <c r="B970" s="319" t="s">
        <v>789</v>
      </c>
      <c r="C970" s="319" t="s">
        <v>1173</v>
      </c>
      <c r="D970" s="319" t="s">
        <v>1173</v>
      </c>
      <c r="E970" s="320">
        <v>704000</v>
      </c>
      <c r="F970" s="320">
        <v>704000</v>
      </c>
    </row>
    <row r="971" spans="1:6" ht="76.5">
      <c r="A971" s="318" t="s">
        <v>1318</v>
      </c>
      <c r="B971" s="319" t="s">
        <v>789</v>
      </c>
      <c r="C971" s="319" t="s">
        <v>273</v>
      </c>
      <c r="D971" s="319" t="s">
        <v>1173</v>
      </c>
      <c r="E971" s="320">
        <v>704000</v>
      </c>
      <c r="F971" s="320">
        <v>704000</v>
      </c>
    </row>
    <row r="972" spans="1:6" ht="38.25">
      <c r="A972" s="318" t="s">
        <v>1203</v>
      </c>
      <c r="B972" s="319" t="s">
        <v>789</v>
      </c>
      <c r="C972" s="319" t="s">
        <v>28</v>
      </c>
      <c r="D972" s="319" t="s">
        <v>1173</v>
      </c>
      <c r="E972" s="320">
        <v>704000</v>
      </c>
      <c r="F972" s="320">
        <v>704000</v>
      </c>
    </row>
    <row r="973" spans="1:6">
      <c r="A973" s="318" t="s">
        <v>234</v>
      </c>
      <c r="B973" s="319" t="s">
        <v>789</v>
      </c>
      <c r="C973" s="319" t="s">
        <v>28</v>
      </c>
      <c r="D973" s="319" t="s">
        <v>1135</v>
      </c>
      <c r="E973" s="320">
        <v>704000</v>
      </c>
      <c r="F973" s="320">
        <v>704000</v>
      </c>
    </row>
    <row r="974" spans="1:6" ht="51">
      <c r="A974" s="318" t="s">
        <v>216</v>
      </c>
      <c r="B974" s="319" t="s">
        <v>789</v>
      </c>
      <c r="C974" s="319" t="s">
        <v>28</v>
      </c>
      <c r="D974" s="319" t="s">
        <v>331</v>
      </c>
      <c r="E974" s="320">
        <v>704000</v>
      </c>
      <c r="F974" s="320">
        <v>704000</v>
      </c>
    </row>
    <row r="975" spans="1:6" ht="114.75">
      <c r="A975" s="318" t="s">
        <v>585</v>
      </c>
      <c r="B975" s="319" t="s">
        <v>790</v>
      </c>
      <c r="C975" s="319" t="s">
        <v>1173</v>
      </c>
      <c r="D975" s="319" t="s">
        <v>1173</v>
      </c>
      <c r="E975" s="320">
        <v>361140</v>
      </c>
      <c r="F975" s="320">
        <v>361140</v>
      </c>
    </row>
    <row r="976" spans="1:6" ht="76.5">
      <c r="A976" s="318" t="s">
        <v>1318</v>
      </c>
      <c r="B976" s="319" t="s">
        <v>790</v>
      </c>
      <c r="C976" s="319" t="s">
        <v>273</v>
      </c>
      <c r="D976" s="319" t="s">
        <v>1173</v>
      </c>
      <c r="E976" s="320">
        <v>361140</v>
      </c>
      <c r="F976" s="320">
        <v>361140</v>
      </c>
    </row>
    <row r="977" spans="1:6" ht="38.25">
      <c r="A977" s="318" t="s">
        <v>1203</v>
      </c>
      <c r="B977" s="319" t="s">
        <v>790</v>
      </c>
      <c r="C977" s="319" t="s">
        <v>28</v>
      </c>
      <c r="D977" s="319" t="s">
        <v>1173</v>
      </c>
      <c r="E977" s="320">
        <v>361140</v>
      </c>
      <c r="F977" s="320">
        <v>361140</v>
      </c>
    </row>
    <row r="978" spans="1:6">
      <c r="A978" s="318" t="s">
        <v>234</v>
      </c>
      <c r="B978" s="319" t="s">
        <v>790</v>
      </c>
      <c r="C978" s="319" t="s">
        <v>28</v>
      </c>
      <c r="D978" s="319" t="s">
        <v>1135</v>
      </c>
      <c r="E978" s="320">
        <v>361140</v>
      </c>
      <c r="F978" s="320">
        <v>361140</v>
      </c>
    </row>
    <row r="979" spans="1:6" ht="51">
      <c r="A979" s="318" t="s">
        <v>216</v>
      </c>
      <c r="B979" s="319" t="s">
        <v>790</v>
      </c>
      <c r="C979" s="319" t="s">
        <v>28</v>
      </c>
      <c r="D979" s="319" t="s">
        <v>331</v>
      </c>
      <c r="E979" s="320">
        <v>361140</v>
      </c>
      <c r="F979" s="320">
        <v>361140</v>
      </c>
    </row>
    <row r="980" spans="1:6" ht="102">
      <c r="A980" s="318" t="s">
        <v>933</v>
      </c>
      <c r="B980" s="319" t="s">
        <v>932</v>
      </c>
      <c r="C980" s="319" t="s">
        <v>1173</v>
      </c>
      <c r="D980" s="319" t="s">
        <v>1173</v>
      </c>
      <c r="E980" s="320">
        <v>1682095</v>
      </c>
      <c r="F980" s="320">
        <v>1682095</v>
      </c>
    </row>
    <row r="981" spans="1:6" ht="76.5">
      <c r="A981" s="318" t="s">
        <v>1318</v>
      </c>
      <c r="B981" s="319" t="s">
        <v>932</v>
      </c>
      <c r="C981" s="319" t="s">
        <v>273</v>
      </c>
      <c r="D981" s="319" t="s">
        <v>1173</v>
      </c>
      <c r="E981" s="320">
        <v>1682095</v>
      </c>
      <c r="F981" s="320">
        <v>1682095</v>
      </c>
    </row>
    <row r="982" spans="1:6" ht="38.25">
      <c r="A982" s="318" t="s">
        <v>1203</v>
      </c>
      <c r="B982" s="319" t="s">
        <v>932</v>
      </c>
      <c r="C982" s="319" t="s">
        <v>28</v>
      </c>
      <c r="D982" s="319" t="s">
        <v>1173</v>
      </c>
      <c r="E982" s="320">
        <v>1682095</v>
      </c>
      <c r="F982" s="320">
        <v>1682095</v>
      </c>
    </row>
    <row r="983" spans="1:6">
      <c r="A983" s="318" t="s">
        <v>234</v>
      </c>
      <c r="B983" s="319" t="s">
        <v>932</v>
      </c>
      <c r="C983" s="319" t="s">
        <v>28</v>
      </c>
      <c r="D983" s="319" t="s">
        <v>1135</v>
      </c>
      <c r="E983" s="320">
        <v>1682095</v>
      </c>
      <c r="F983" s="320">
        <v>1682095</v>
      </c>
    </row>
    <row r="984" spans="1:6" ht="51">
      <c r="A984" s="318" t="s">
        <v>216</v>
      </c>
      <c r="B984" s="319" t="s">
        <v>932</v>
      </c>
      <c r="C984" s="319" t="s">
        <v>28</v>
      </c>
      <c r="D984" s="319" t="s">
        <v>331</v>
      </c>
      <c r="E984" s="320">
        <v>1682095</v>
      </c>
      <c r="F984" s="320">
        <v>1682095</v>
      </c>
    </row>
    <row r="985" spans="1:6" ht="76.5">
      <c r="A985" s="318" t="s">
        <v>586</v>
      </c>
      <c r="B985" s="319" t="s">
        <v>791</v>
      </c>
      <c r="C985" s="319" t="s">
        <v>1173</v>
      </c>
      <c r="D985" s="319" t="s">
        <v>1173</v>
      </c>
      <c r="E985" s="320">
        <v>657685</v>
      </c>
      <c r="F985" s="320">
        <v>657685</v>
      </c>
    </row>
    <row r="986" spans="1:6" ht="38.25">
      <c r="A986" s="318" t="s">
        <v>1319</v>
      </c>
      <c r="B986" s="319" t="s">
        <v>791</v>
      </c>
      <c r="C986" s="319" t="s">
        <v>1320</v>
      </c>
      <c r="D986" s="319" t="s">
        <v>1173</v>
      </c>
      <c r="E986" s="320">
        <v>657685</v>
      </c>
      <c r="F986" s="320">
        <v>657685</v>
      </c>
    </row>
    <row r="987" spans="1:6" ht="38.25">
      <c r="A987" s="318" t="s">
        <v>1196</v>
      </c>
      <c r="B987" s="319" t="s">
        <v>791</v>
      </c>
      <c r="C987" s="319" t="s">
        <v>1197</v>
      </c>
      <c r="D987" s="319" t="s">
        <v>1173</v>
      </c>
      <c r="E987" s="320">
        <v>657685</v>
      </c>
      <c r="F987" s="320">
        <v>657685</v>
      </c>
    </row>
    <row r="988" spans="1:6">
      <c r="A988" s="318" t="s">
        <v>234</v>
      </c>
      <c r="B988" s="319" t="s">
        <v>791</v>
      </c>
      <c r="C988" s="319" t="s">
        <v>1197</v>
      </c>
      <c r="D988" s="319" t="s">
        <v>1135</v>
      </c>
      <c r="E988" s="320">
        <v>657685</v>
      </c>
      <c r="F988" s="320">
        <v>657685</v>
      </c>
    </row>
    <row r="989" spans="1:6" ht="51">
      <c r="A989" s="318" t="s">
        <v>216</v>
      </c>
      <c r="B989" s="319" t="s">
        <v>791</v>
      </c>
      <c r="C989" s="319" t="s">
        <v>1197</v>
      </c>
      <c r="D989" s="319" t="s">
        <v>331</v>
      </c>
      <c r="E989" s="320">
        <v>657685</v>
      </c>
      <c r="F989" s="320">
        <v>657685</v>
      </c>
    </row>
    <row r="990" spans="1:6" ht="89.25">
      <c r="A990" s="318" t="s">
        <v>1855</v>
      </c>
      <c r="B990" s="319" t="s">
        <v>1856</v>
      </c>
      <c r="C990" s="319" t="s">
        <v>1173</v>
      </c>
      <c r="D990" s="319" t="s">
        <v>1173</v>
      </c>
      <c r="E990" s="320">
        <v>5525</v>
      </c>
      <c r="F990" s="320">
        <v>5525</v>
      </c>
    </row>
    <row r="991" spans="1:6" ht="38.25">
      <c r="A991" s="318" t="s">
        <v>1319</v>
      </c>
      <c r="B991" s="319" t="s">
        <v>1856</v>
      </c>
      <c r="C991" s="319" t="s">
        <v>1320</v>
      </c>
      <c r="D991" s="319" t="s">
        <v>1173</v>
      </c>
      <c r="E991" s="320">
        <v>5525</v>
      </c>
      <c r="F991" s="320">
        <v>5525</v>
      </c>
    </row>
    <row r="992" spans="1:6" ht="38.25">
      <c r="A992" s="318" t="s">
        <v>1196</v>
      </c>
      <c r="B992" s="319" t="s">
        <v>1856</v>
      </c>
      <c r="C992" s="319" t="s">
        <v>1197</v>
      </c>
      <c r="D992" s="319" t="s">
        <v>1173</v>
      </c>
      <c r="E992" s="320">
        <v>5525</v>
      </c>
      <c r="F992" s="320">
        <v>5525</v>
      </c>
    </row>
    <row r="993" spans="1:6">
      <c r="A993" s="318" t="s">
        <v>234</v>
      </c>
      <c r="B993" s="319" t="s">
        <v>1856</v>
      </c>
      <c r="C993" s="319" t="s">
        <v>1197</v>
      </c>
      <c r="D993" s="319" t="s">
        <v>1135</v>
      </c>
      <c r="E993" s="320">
        <v>5525</v>
      </c>
      <c r="F993" s="320">
        <v>5525</v>
      </c>
    </row>
    <row r="994" spans="1:6" ht="51">
      <c r="A994" s="318" t="s">
        <v>216</v>
      </c>
      <c r="B994" s="319" t="s">
        <v>1856</v>
      </c>
      <c r="C994" s="319" t="s">
        <v>1197</v>
      </c>
      <c r="D994" s="319" t="s">
        <v>331</v>
      </c>
      <c r="E994" s="320">
        <v>5525</v>
      </c>
      <c r="F994" s="320">
        <v>5525</v>
      </c>
    </row>
    <row r="995" spans="1:6" ht="63.75">
      <c r="A995" s="318" t="s">
        <v>969</v>
      </c>
      <c r="B995" s="319" t="s">
        <v>970</v>
      </c>
      <c r="C995" s="319" t="s">
        <v>1173</v>
      </c>
      <c r="D995" s="319" t="s">
        <v>1173</v>
      </c>
      <c r="E995" s="320">
        <v>225348</v>
      </c>
      <c r="F995" s="320">
        <v>225348</v>
      </c>
    </row>
    <row r="996" spans="1:6" ht="38.25">
      <c r="A996" s="318" t="s">
        <v>1319</v>
      </c>
      <c r="B996" s="319" t="s">
        <v>970</v>
      </c>
      <c r="C996" s="319" t="s">
        <v>1320</v>
      </c>
      <c r="D996" s="319" t="s">
        <v>1173</v>
      </c>
      <c r="E996" s="320">
        <v>225348</v>
      </c>
      <c r="F996" s="320">
        <v>225348</v>
      </c>
    </row>
    <row r="997" spans="1:6" ht="38.25">
      <c r="A997" s="318" t="s">
        <v>1196</v>
      </c>
      <c r="B997" s="319" t="s">
        <v>970</v>
      </c>
      <c r="C997" s="319" t="s">
        <v>1197</v>
      </c>
      <c r="D997" s="319" t="s">
        <v>1173</v>
      </c>
      <c r="E997" s="320">
        <v>225348</v>
      </c>
      <c r="F997" s="320">
        <v>225348</v>
      </c>
    </row>
    <row r="998" spans="1:6">
      <c r="A998" s="318" t="s">
        <v>234</v>
      </c>
      <c r="B998" s="319" t="s">
        <v>970</v>
      </c>
      <c r="C998" s="319" t="s">
        <v>1197</v>
      </c>
      <c r="D998" s="319" t="s">
        <v>1135</v>
      </c>
      <c r="E998" s="320">
        <v>225348</v>
      </c>
      <c r="F998" s="320">
        <v>225348</v>
      </c>
    </row>
    <row r="999" spans="1:6" ht="51">
      <c r="A999" s="318" t="s">
        <v>216</v>
      </c>
      <c r="B999" s="319" t="s">
        <v>970</v>
      </c>
      <c r="C999" s="319" t="s">
        <v>1197</v>
      </c>
      <c r="D999" s="319" t="s">
        <v>331</v>
      </c>
      <c r="E999" s="320">
        <v>225348</v>
      </c>
      <c r="F999" s="320">
        <v>225348</v>
      </c>
    </row>
    <row r="1000" spans="1:6" ht="89.25">
      <c r="A1000" s="318" t="s">
        <v>536</v>
      </c>
      <c r="B1000" s="319" t="s">
        <v>792</v>
      </c>
      <c r="C1000" s="319" t="s">
        <v>1173</v>
      </c>
      <c r="D1000" s="319" t="s">
        <v>1173</v>
      </c>
      <c r="E1000" s="320">
        <v>680323</v>
      </c>
      <c r="F1000" s="320">
        <v>680323</v>
      </c>
    </row>
    <row r="1001" spans="1:6" ht="76.5">
      <c r="A1001" s="318" t="s">
        <v>1318</v>
      </c>
      <c r="B1001" s="319" t="s">
        <v>792</v>
      </c>
      <c r="C1001" s="319" t="s">
        <v>273</v>
      </c>
      <c r="D1001" s="319" t="s">
        <v>1173</v>
      </c>
      <c r="E1001" s="320">
        <v>680323</v>
      </c>
      <c r="F1001" s="320">
        <v>680323</v>
      </c>
    </row>
    <row r="1002" spans="1:6" ht="38.25">
      <c r="A1002" s="318" t="s">
        <v>1203</v>
      </c>
      <c r="B1002" s="319" t="s">
        <v>792</v>
      </c>
      <c r="C1002" s="319" t="s">
        <v>28</v>
      </c>
      <c r="D1002" s="319" t="s">
        <v>1173</v>
      </c>
      <c r="E1002" s="320">
        <v>680323</v>
      </c>
      <c r="F1002" s="320">
        <v>680323</v>
      </c>
    </row>
    <row r="1003" spans="1:6">
      <c r="A1003" s="318" t="s">
        <v>234</v>
      </c>
      <c r="B1003" s="319" t="s">
        <v>792</v>
      </c>
      <c r="C1003" s="319" t="s">
        <v>28</v>
      </c>
      <c r="D1003" s="319" t="s">
        <v>1135</v>
      </c>
      <c r="E1003" s="320">
        <v>680323</v>
      </c>
      <c r="F1003" s="320">
        <v>680323</v>
      </c>
    </row>
    <row r="1004" spans="1:6" ht="51">
      <c r="A1004" s="318" t="s">
        <v>216</v>
      </c>
      <c r="B1004" s="319" t="s">
        <v>792</v>
      </c>
      <c r="C1004" s="319" t="s">
        <v>28</v>
      </c>
      <c r="D1004" s="319" t="s">
        <v>331</v>
      </c>
      <c r="E1004" s="320">
        <v>680323</v>
      </c>
      <c r="F1004" s="320">
        <v>680323</v>
      </c>
    </row>
    <row r="1005" spans="1:6" ht="127.5">
      <c r="A1005" s="318" t="s">
        <v>1372</v>
      </c>
      <c r="B1005" s="319" t="s">
        <v>1373</v>
      </c>
      <c r="C1005" s="319" t="s">
        <v>1173</v>
      </c>
      <c r="D1005" s="319" t="s">
        <v>1173</v>
      </c>
      <c r="E1005" s="320">
        <v>23000</v>
      </c>
      <c r="F1005" s="320">
        <v>23000</v>
      </c>
    </row>
    <row r="1006" spans="1:6" ht="38.25">
      <c r="A1006" s="318" t="s">
        <v>1319</v>
      </c>
      <c r="B1006" s="319" t="s">
        <v>1373</v>
      </c>
      <c r="C1006" s="319" t="s">
        <v>1320</v>
      </c>
      <c r="D1006" s="319" t="s">
        <v>1173</v>
      </c>
      <c r="E1006" s="320">
        <v>23000</v>
      </c>
      <c r="F1006" s="320">
        <v>23000</v>
      </c>
    </row>
    <row r="1007" spans="1:6" ht="38.25">
      <c r="A1007" s="318" t="s">
        <v>1196</v>
      </c>
      <c r="B1007" s="319" t="s">
        <v>1373</v>
      </c>
      <c r="C1007" s="319" t="s">
        <v>1197</v>
      </c>
      <c r="D1007" s="319" t="s">
        <v>1173</v>
      </c>
      <c r="E1007" s="320">
        <v>23000</v>
      </c>
      <c r="F1007" s="320">
        <v>23000</v>
      </c>
    </row>
    <row r="1008" spans="1:6">
      <c r="A1008" s="318" t="s">
        <v>234</v>
      </c>
      <c r="B1008" s="319" t="s">
        <v>1373</v>
      </c>
      <c r="C1008" s="319" t="s">
        <v>1197</v>
      </c>
      <c r="D1008" s="319" t="s">
        <v>1135</v>
      </c>
      <c r="E1008" s="320">
        <v>23000</v>
      </c>
      <c r="F1008" s="320">
        <v>23000</v>
      </c>
    </row>
    <row r="1009" spans="1:6" ht="51">
      <c r="A1009" s="318" t="s">
        <v>216</v>
      </c>
      <c r="B1009" s="319" t="s">
        <v>1373</v>
      </c>
      <c r="C1009" s="319" t="s">
        <v>1197</v>
      </c>
      <c r="D1009" s="319" t="s">
        <v>331</v>
      </c>
      <c r="E1009" s="320">
        <v>23000</v>
      </c>
      <c r="F1009" s="320">
        <v>23000</v>
      </c>
    </row>
    <row r="1010" spans="1:6" ht="38.25">
      <c r="A1010" s="318" t="s">
        <v>493</v>
      </c>
      <c r="B1010" s="319" t="s">
        <v>1002</v>
      </c>
      <c r="C1010" s="319" t="s">
        <v>1173</v>
      </c>
      <c r="D1010" s="319" t="s">
        <v>1173</v>
      </c>
      <c r="E1010" s="320">
        <v>1845200</v>
      </c>
      <c r="F1010" s="320">
        <v>1845200</v>
      </c>
    </row>
    <row r="1011" spans="1:6" ht="25.5">
      <c r="A1011" s="318" t="s">
        <v>494</v>
      </c>
      <c r="B1011" s="319" t="s">
        <v>1003</v>
      </c>
      <c r="C1011" s="319" t="s">
        <v>1173</v>
      </c>
      <c r="D1011" s="319" t="s">
        <v>1173</v>
      </c>
      <c r="E1011" s="320">
        <v>10000</v>
      </c>
      <c r="F1011" s="320">
        <v>10000</v>
      </c>
    </row>
    <row r="1012" spans="1:6" ht="63.75">
      <c r="A1012" s="318" t="s">
        <v>1706</v>
      </c>
      <c r="B1012" s="319" t="s">
        <v>1707</v>
      </c>
      <c r="C1012" s="319" t="s">
        <v>1173</v>
      </c>
      <c r="D1012" s="319" t="s">
        <v>1173</v>
      </c>
      <c r="E1012" s="320">
        <v>10000</v>
      </c>
      <c r="F1012" s="320">
        <v>10000</v>
      </c>
    </row>
    <row r="1013" spans="1:6" ht="38.25">
      <c r="A1013" s="318" t="s">
        <v>1319</v>
      </c>
      <c r="B1013" s="319" t="s">
        <v>1707</v>
      </c>
      <c r="C1013" s="319" t="s">
        <v>1320</v>
      </c>
      <c r="D1013" s="319" t="s">
        <v>1173</v>
      </c>
      <c r="E1013" s="320">
        <v>10000</v>
      </c>
      <c r="F1013" s="320">
        <v>10000</v>
      </c>
    </row>
    <row r="1014" spans="1:6" ht="38.25">
      <c r="A1014" s="318" t="s">
        <v>1196</v>
      </c>
      <c r="B1014" s="319" t="s">
        <v>1707</v>
      </c>
      <c r="C1014" s="319" t="s">
        <v>1197</v>
      </c>
      <c r="D1014" s="319" t="s">
        <v>1173</v>
      </c>
      <c r="E1014" s="320">
        <v>10000</v>
      </c>
      <c r="F1014" s="320">
        <v>10000</v>
      </c>
    </row>
    <row r="1015" spans="1:6">
      <c r="A1015" s="318" t="s">
        <v>183</v>
      </c>
      <c r="B1015" s="319" t="s">
        <v>1707</v>
      </c>
      <c r="C1015" s="319" t="s">
        <v>1197</v>
      </c>
      <c r="D1015" s="319" t="s">
        <v>1140</v>
      </c>
      <c r="E1015" s="320">
        <v>10000</v>
      </c>
      <c r="F1015" s="320">
        <v>10000</v>
      </c>
    </row>
    <row r="1016" spans="1:6">
      <c r="A1016" s="318" t="s">
        <v>184</v>
      </c>
      <c r="B1016" s="319" t="s">
        <v>1707</v>
      </c>
      <c r="C1016" s="319" t="s">
        <v>1197</v>
      </c>
      <c r="D1016" s="319" t="s">
        <v>352</v>
      </c>
      <c r="E1016" s="320">
        <v>10000</v>
      </c>
      <c r="F1016" s="320">
        <v>10000</v>
      </c>
    </row>
    <row r="1017" spans="1:6" ht="25.5">
      <c r="A1017" s="318" t="s">
        <v>495</v>
      </c>
      <c r="B1017" s="319" t="s">
        <v>1004</v>
      </c>
      <c r="C1017" s="319" t="s">
        <v>1173</v>
      </c>
      <c r="D1017" s="319" t="s">
        <v>1173</v>
      </c>
      <c r="E1017" s="320">
        <v>93000</v>
      </c>
      <c r="F1017" s="320">
        <v>93000</v>
      </c>
    </row>
    <row r="1018" spans="1:6" ht="89.25">
      <c r="A1018" s="318" t="s">
        <v>1174</v>
      </c>
      <c r="B1018" s="319" t="s">
        <v>1175</v>
      </c>
      <c r="C1018" s="319" t="s">
        <v>1173</v>
      </c>
      <c r="D1018" s="319" t="s">
        <v>1173</v>
      </c>
      <c r="E1018" s="320">
        <v>93000</v>
      </c>
      <c r="F1018" s="320">
        <v>93000</v>
      </c>
    </row>
    <row r="1019" spans="1:6" ht="38.25">
      <c r="A1019" s="318" t="s">
        <v>1319</v>
      </c>
      <c r="B1019" s="319" t="s">
        <v>1175</v>
      </c>
      <c r="C1019" s="319" t="s">
        <v>1320</v>
      </c>
      <c r="D1019" s="319" t="s">
        <v>1173</v>
      </c>
      <c r="E1019" s="320">
        <v>93000</v>
      </c>
      <c r="F1019" s="320">
        <v>93000</v>
      </c>
    </row>
    <row r="1020" spans="1:6" ht="38.25">
      <c r="A1020" s="318" t="s">
        <v>1196</v>
      </c>
      <c r="B1020" s="319" t="s">
        <v>1175</v>
      </c>
      <c r="C1020" s="319" t="s">
        <v>1197</v>
      </c>
      <c r="D1020" s="319" t="s">
        <v>1173</v>
      </c>
      <c r="E1020" s="320">
        <v>93000</v>
      </c>
      <c r="F1020" s="320">
        <v>93000</v>
      </c>
    </row>
    <row r="1021" spans="1:6">
      <c r="A1021" s="318" t="s">
        <v>183</v>
      </c>
      <c r="B1021" s="319" t="s">
        <v>1175</v>
      </c>
      <c r="C1021" s="319" t="s">
        <v>1197</v>
      </c>
      <c r="D1021" s="319" t="s">
        <v>1140</v>
      </c>
      <c r="E1021" s="320">
        <v>93000</v>
      </c>
      <c r="F1021" s="320">
        <v>93000</v>
      </c>
    </row>
    <row r="1022" spans="1:6" ht="25.5">
      <c r="A1022" s="318" t="s">
        <v>145</v>
      </c>
      <c r="B1022" s="319" t="s">
        <v>1175</v>
      </c>
      <c r="C1022" s="319" t="s">
        <v>1197</v>
      </c>
      <c r="D1022" s="319" t="s">
        <v>360</v>
      </c>
      <c r="E1022" s="320">
        <v>93000</v>
      </c>
      <c r="F1022" s="320">
        <v>93000</v>
      </c>
    </row>
    <row r="1023" spans="1:6" ht="38.25">
      <c r="A1023" s="318" t="s">
        <v>447</v>
      </c>
      <c r="B1023" s="319" t="s">
        <v>1005</v>
      </c>
      <c r="C1023" s="319" t="s">
        <v>1173</v>
      </c>
      <c r="D1023" s="319" t="s">
        <v>1173</v>
      </c>
      <c r="E1023" s="320">
        <v>1742200</v>
      </c>
      <c r="F1023" s="320">
        <v>1742200</v>
      </c>
    </row>
    <row r="1024" spans="1:6" ht="114.75">
      <c r="A1024" s="318" t="s">
        <v>355</v>
      </c>
      <c r="B1024" s="319" t="s">
        <v>669</v>
      </c>
      <c r="C1024" s="319" t="s">
        <v>1173</v>
      </c>
      <c r="D1024" s="319" t="s">
        <v>1173</v>
      </c>
      <c r="E1024" s="320">
        <v>1742200</v>
      </c>
      <c r="F1024" s="320">
        <v>1742200</v>
      </c>
    </row>
    <row r="1025" spans="1:6" ht="76.5">
      <c r="A1025" s="318" t="s">
        <v>1318</v>
      </c>
      <c r="B1025" s="319" t="s">
        <v>669</v>
      </c>
      <c r="C1025" s="319" t="s">
        <v>273</v>
      </c>
      <c r="D1025" s="319" t="s">
        <v>1173</v>
      </c>
      <c r="E1025" s="320">
        <v>1688700</v>
      </c>
      <c r="F1025" s="320">
        <v>1688700</v>
      </c>
    </row>
    <row r="1026" spans="1:6" ht="38.25">
      <c r="A1026" s="318" t="s">
        <v>1203</v>
      </c>
      <c r="B1026" s="319" t="s">
        <v>669</v>
      </c>
      <c r="C1026" s="319" t="s">
        <v>28</v>
      </c>
      <c r="D1026" s="319" t="s">
        <v>1173</v>
      </c>
      <c r="E1026" s="320">
        <v>1688700</v>
      </c>
      <c r="F1026" s="320">
        <v>1688700</v>
      </c>
    </row>
    <row r="1027" spans="1:6">
      <c r="A1027" s="318" t="s">
        <v>183</v>
      </c>
      <c r="B1027" s="319" t="s">
        <v>669</v>
      </c>
      <c r="C1027" s="319" t="s">
        <v>28</v>
      </c>
      <c r="D1027" s="319" t="s">
        <v>1140</v>
      </c>
      <c r="E1027" s="320">
        <v>1688700</v>
      </c>
      <c r="F1027" s="320">
        <v>1688700</v>
      </c>
    </row>
    <row r="1028" spans="1:6">
      <c r="A1028" s="318" t="s">
        <v>184</v>
      </c>
      <c r="B1028" s="319" t="s">
        <v>669</v>
      </c>
      <c r="C1028" s="319" t="s">
        <v>28</v>
      </c>
      <c r="D1028" s="319" t="s">
        <v>352</v>
      </c>
      <c r="E1028" s="320">
        <v>1688700</v>
      </c>
      <c r="F1028" s="320">
        <v>1688700</v>
      </c>
    </row>
    <row r="1029" spans="1:6" ht="38.25">
      <c r="A1029" s="318" t="s">
        <v>1319</v>
      </c>
      <c r="B1029" s="319" t="s">
        <v>669</v>
      </c>
      <c r="C1029" s="319" t="s">
        <v>1320</v>
      </c>
      <c r="D1029" s="319" t="s">
        <v>1173</v>
      </c>
      <c r="E1029" s="320">
        <v>53500</v>
      </c>
      <c r="F1029" s="320">
        <v>53500</v>
      </c>
    </row>
    <row r="1030" spans="1:6" ht="38.25">
      <c r="A1030" s="318" t="s">
        <v>1196</v>
      </c>
      <c r="B1030" s="319" t="s">
        <v>669</v>
      </c>
      <c r="C1030" s="319" t="s">
        <v>1197</v>
      </c>
      <c r="D1030" s="319" t="s">
        <v>1173</v>
      </c>
      <c r="E1030" s="320">
        <v>53500</v>
      </c>
      <c r="F1030" s="320">
        <v>53500</v>
      </c>
    </row>
    <row r="1031" spans="1:6">
      <c r="A1031" s="318" t="s">
        <v>183</v>
      </c>
      <c r="B1031" s="319" t="s">
        <v>669</v>
      </c>
      <c r="C1031" s="319" t="s">
        <v>1197</v>
      </c>
      <c r="D1031" s="319" t="s">
        <v>1140</v>
      </c>
      <c r="E1031" s="320">
        <v>53500</v>
      </c>
      <c r="F1031" s="320">
        <v>53500</v>
      </c>
    </row>
    <row r="1032" spans="1:6">
      <c r="A1032" s="318" t="s">
        <v>184</v>
      </c>
      <c r="B1032" s="319" t="s">
        <v>669</v>
      </c>
      <c r="C1032" s="319" t="s">
        <v>1197</v>
      </c>
      <c r="D1032" s="319" t="s">
        <v>352</v>
      </c>
      <c r="E1032" s="320">
        <v>53500</v>
      </c>
      <c r="F1032" s="320">
        <v>53500</v>
      </c>
    </row>
    <row r="1033" spans="1:6" ht="51">
      <c r="A1033" s="318" t="s">
        <v>1719</v>
      </c>
      <c r="B1033" s="319" t="s">
        <v>1720</v>
      </c>
      <c r="C1033" s="319" t="s">
        <v>1173</v>
      </c>
      <c r="D1033" s="319" t="s">
        <v>1173</v>
      </c>
      <c r="E1033" s="320">
        <v>250000</v>
      </c>
      <c r="F1033" s="320">
        <v>250000</v>
      </c>
    </row>
    <row r="1034" spans="1:6" ht="38.25">
      <c r="A1034" s="318" t="s">
        <v>1721</v>
      </c>
      <c r="B1034" s="319" t="s">
        <v>1722</v>
      </c>
      <c r="C1034" s="319" t="s">
        <v>1173</v>
      </c>
      <c r="D1034" s="319" t="s">
        <v>1173</v>
      </c>
      <c r="E1034" s="320">
        <v>150000</v>
      </c>
      <c r="F1034" s="320">
        <v>150000</v>
      </c>
    </row>
    <row r="1035" spans="1:6" ht="127.5">
      <c r="A1035" s="318" t="s">
        <v>1723</v>
      </c>
      <c r="B1035" s="319" t="s">
        <v>1724</v>
      </c>
      <c r="C1035" s="319" t="s">
        <v>1173</v>
      </c>
      <c r="D1035" s="319" t="s">
        <v>1173</v>
      </c>
      <c r="E1035" s="320">
        <v>150000</v>
      </c>
      <c r="F1035" s="320">
        <v>150000</v>
      </c>
    </row>
    <row r="1036" spans="1:6" ht="38.25">
      <c r="A1036" s="318" t="s">
        <v>1327</v>
      </c>
      <c r="B1036" s="319" t="s">
        <v>1724</v>
      </c>
      <c r="C1036" s="319" t="s">
        <v>1328</v>
      </c>
      <c r="D1036" s="319" t="s">
        <v>1173</v>
      </c>
      <c r="E1036" s="320">
        <v>150000</v>
      </c>
      <c r="F1036" s="320">
        <v>150000</v>
      </c>
    </row>
    <row r="1037" spans="1:6" ht="63.75">
      <c r="A1037" s="318" t="s">
        <v>1947</v>
      </c>
      <c r="B1037" s="319" t="s">
        <v>1724</v>
      </c>
      <c r="C1037" s="319" t="s">
        <v>1725</v>
      </c>
      <c r="D1037" s="319" t="s">
        <v>1173</v>
      </c>
      <c r="E1037" s="320">
        <v>150000</v>
      </c>
      <c r="F1037" s="320">
        <v>150000</v>
      </c>
    </row>
    <row r="1038" spans="1:6">
      <c r="A1038" s="318" t="s">
        <v>249</v>
      </c>
      <c r="B1038" s="319" t="s">
        <v>1724</v>
      </c>
      <c r="C1038" s="319" t="s">
        <v>1725</v>
      </c>
      <c r="D1038" s="319" t="s">
        <v>1148</v>
      </c>
      <c r="E1038" s="320">
        <v>150000</v>
      </c>
      <c r="F1038" s="320">
        <v>150000</v>
      </c>
    </row>
    <row r="1039" spans="1:6">
      <c r="A1039" s="318" t="s">
        <v>209</v>
      </c>
      <c r="B1039" s="319" t="s">
        <v>1724</v>
      </c>
      <c r="C1039" s="319" t="s">
        <v>1725</v>
      </c>
      <c r="D1039" s="319" t="s">
        <v>392</v>
      </c>
      <c r="E1039" s="320">
        <v>150000</v>
      </c>
      <c r="F1039" s="320">
        <v>150000</v>
      </c>
    </row>
    <row r="1040" spans="1:6" ht="63.75">
      <c r="A1040" s="318" t="s">
        <v>1728</v>
      </c>
      <c r="B1040" s="319" t="s">
        <v>1729</v>
      </c>
      <c r="C1040" s="319" t="s">
        <v>1173</v>
      </c>
      <c r="D1040" s="319" t="s">
        <v>1173</v>
      </c>
      <c r="E1040" s="320">
        <v>100000</v>
      </c>
      <c r="F1040" s="320">
        <v>100000</v>
      </c>
    </row>
    <row r="1041" spans="1:6" ht="140.25">
      <c r="A1041" s="318" t="s">
        <v>1730</v>
      </c>
      <c r="B1041" s="319" t="s">
        <v>1731</v>
      </c>
      <c r="C1041" s="319" t="s">
        <v>1173</v>
      </c>
      <c r="D1041" s="319" t="s">
        <v>1173</v>
      </c>
      <c r="E1041" s="320">
        <v>50000</v>
      </c>
      <c r="F1041" s="320">
        <v>50000</v>
      </c>
    </row>
    <row r="1042" spans="1:6" ht="38.25">
      <c r="A1042" s="318" t="s">
        <v>1319</v>
      </c>
      <c r="B1042" s="319" t="s">
        <v>1731</v>
      </c>
      <c r="C1042" s="319" t="s">
        <v>1320</v>
      </c>
      <c r="D1042" s="319" t="s">
        <v>1173</v>
      </c>
      <c r="E1042" s="320">
        <v>50000</v>
      </c>
      <c r="F1042" s="320">
        <v>50000</v>
      </c>
    </row>
    <row r="1043" spans="1:6" ht="38.25">
      <c r="A1043" s="318" t="s">
        <v>1196</v>
      </c>
      <c r="B1043" s="319" t="s">
        <v>1731</v>
      </c>
      <c r="C1043" s="319" t="s">
        <v>1197</v>
      </c>
      <c r="D1043" s="319" t="s">
        <v>1173</v>
      </c>
      <c r="E1043" s="320">
        <v>50000</v>
      </c>
      <c r="F1043" s="320">
        <v>50000</v>
      </c>
    </row>
    <row r="1044" spans="1:6">
      <c r="A1044" s="318" t="s">
        <v>249</v>
      </c>
      <c r="B1044" s="319" t="s">
        <v>1731</v>
      </c>
      <c r="C1044" s="319" t="s">
        <v>1197</v>
      </c>
      <c r="D1044" s="319" t="s">
        <v>1148</v>
      </c>
      <c r="E1044" s="320">
        <v>50000</v>
      </c>
      <c r="F1044" s="320">
        <v>50000</v>
      </c>
    </row>
    <row r="1045" spans="1:6">
      <c r="A1045" s="318" t="s">
        <v>209</v>
      </c>
      <c r="B1045" s="319" t="s">
        <v>1731</v>
      </c>
      <c r="C1045" s="319" t="s">
        <v>1197</v>
      </c>
      <c r="D1045" s="319" t="s">
        <v>392</v>
      </c>
      <c r="E1045" s="320">
        <v>50000</v>
      </c>
      <c r="F1045" s="320">
        <v>50000</v>
      </c>
    </row>
    <row r="1046" spans="1:6" ht="165.75">
      <c r="A1046" s="318" t="s">
        <v>1961</v>
      </c>
      <c r="B1046" s="319" t="s">
        <v>1962</v>
      </c>
      <c r="C1046" s="319" t="s">
        <v>1173</v>
      </c>
      <c r="D1046" s="319" t="s">
        <v>1173</v>
      </c>
      <c r="E1046" s="320">
        <v>50000</v>
      </c>
      <c r="F1046" s="320">
        <v>50000</v>
      </c>
    </row>
    <row r="1047" spans="1:6" ht="38.25">
      <c r="A1047" s="318" t="s">
        <v>1319</v>
      </c>
      <c r="B1047" s="319" t="s">
        <v>1962</v>
      </c>
      <c r="C1047" s="319" t="s">
        <v>1320</v>
      </c>
      <c r="D1047" s="319" t="s">
        <v>1173</v>
      </c>
      <c r="E1047" s="320">
        <v>50000</v>
      </c>
      <c r="F1047" s="320">
        <v>50000</v>
      </c>
    </row>
    <row r="1048" spans="1:6" ht="38.25">
      <c r="A1048" s="318" t="s">
        <v>1196</v>
      </c>
      <c r="B1048" s="319" t="s">
        <v>1962</v>
      </c>
      <c r="C1048" s="319" t="s">
        <v>1197</v>
      </c>
      <c r="D1048" s="319" t="s">
        <v>1173</v>
      </c>
      <c r="E1048" s="320">
        <v>50000</v>
      </c>
      <c r="F1048" s="320">
        <v>50000</v>
      </c>
    </row>
    <row r="1049" spans="1:6">
      <c r="A1049" s="318" t="s">
        <v>249</v>
      </c>
      <c r="B1049" s="319" t="s">
        <v>1962</v>
      </c>
      <c r="C1049" s="319" t="s">
        <v>1197</v>
      </c>
      <c r="D1049" s="319" t="s">
        <v>1148</v>
      </c>
      <c r="E1049" s="320">
        <v>50000</v>
      </c>
      <c r="F1049" s="320">
        <v>50000</v>
      </c>
    </row>
    <row r="1050" spans="1:6">
      <c r="A1050" s="318" t="s">
        <v>209</v>
      </c>
      <c r="B1050" s="319" t="s">
        <v>1962</v>
      </c>
      <c r="C1050" s="319" t="s">
        <v>1197</v>
      </c>
      <c r="D1050" s="319" t="s">
        <v>392</v>
      </c>
      <c r="E1050" s="320">
        <v>50000</v>
      </c>
      <c r="F1050" s="320">
        <v>50000</v>
      </c>
    </row>
    <row r="1051" spans="1:6" ht="38.25">
      <c r="A1051" s="318" t="s">
        <v>599</v>
      </c>
      <c r="B1051" s="319" t="s">
        <v>1006</v>
      </c>
      <c r="C1051" s="319" t="s">
        <v>1173</v>
      </c>
      <c r="D1051" s="319" t="s">
        <v>1173</v>
      </c>
      <c r="E1051" s="320">
        <v>85628046.859999999</v>
      </c>
      <c r="F1051" s="320">
        <v>86196156.859999999</v>
      </c>
    </row>
    <row r="1052" spans="1:6" ht="63.75">
      <c r="A1052" s="318" t="s">
        <v>323</v>
      </c>
      <c r="B1052" s="319" t="s">
        <v>1007</v>
      </c>
      <c r="C1052" s="319" t="s">
        <v>1173</v>
      </c>
      <c r="D1052" s="319" t="s">
        <v>1173</v>
      </c>
      <c r="E1052" s="320">
        <v>2544341</v>
      </c>
      <c r="F1052" s="320">
        <v>2544341</v>
      </c>
    </row>
    <row r="1053" spans="1:6" ht="63.75">
      <c r="A1053" s="318" t="s">
        <v>323</v>
      </c>
      <c r="B1053" s="319" t="s">
        <v>644</v>
      </c>
      <c r="C1053" s="319" t="s">
        <v>1173</v>
      </c>
      <c r="D1053" s="319" t="s">
        <v>1173</v>
      </c>
      <c r="E1053" s="320">
        <v>2469341</v>
      </c>
      <c r="F1053" s="320">
        <v>2469341</v>
      </c>
    </row>
    <row r="1054" spans="1:6" ht="76.5">
      <c r="A1054" s="318" t="s">
        <v>1318</v>
      </c>
      <c r="B1054" s="319" t="s">
        <v>644</v>
      </c>
      <c r="C1054" s="319" t="s">
        <v>273</v>
      </c>
      <c r="D1054" s="319" t="s">
        <v>1173</v>
      </c>
      <c r="E1054" s="320">
        <v>2469341</v>
      </c>
      <c r="F1054" s="320">
        <v>2469341</v>
      </c>
    </row>
    <row r="1055" spans="1:6" ht="38.25">
      <c r="A1055" s="318" t="s">
        <v>1203</v>
      </c>
      <c r="B1055" s="319" t="s">
        <v>644</v>
      </c>
      <c r="C1055" s="319" t="s">
        <v>28</v>
      </c>
      <c r="D1055" s="319" t="s">
        <v>1173</v>
      </c>
      <c r="E1055" s="320">
        <v>2469341</v>
      </c>
      <c r="F1055" s="320">
        <v>2469341</v>
      </c>
    </row>
    <row r="1056" spans="1:6">
      <c r="A1056" s="318" t="s">
        <v>234</v>
      </c>
      <c r="B1056" s="319" t="s">
        <v>644</v>
      </c>
      <c r="C1056" s="319" t="s">
        <v>28</v>
      </c>
      <c r="D1056" s="319" t="s">
        <v>1135</v>
      </c>
      <c r="E1056" s="320">
        <v>2469341</v>
      </c>
      <c r="F1056" s="320">
        <v>2469341</v>
      </c>
    </row>
    <row r="1057" spans="1:6" ht="51">
      <c r="A1057" s="318" t="s">
        <v>1308</v>
      </c>
      <c r="B1057" s="319" t="s">
        <v>644</v>
      </c>
      <c r="C1057" s="319" t="s">
        <v>28</v>
      </c>
      <c r="D1057" s="319" t="s">
        <v>322</v>
      </c>
      <c r="E1057" s="320">
        <v>2469341</v>
      </c>
      <c r="F1057" s="320">
        <v>2469341</v>
      </c>
    </row>
    <row r="1058" spans="1:6" ht="76.5">
      <c r="A1058" s="318" t="s">
        <v>1697</v>
      </c>
      <c r="B1058" s="319" t="s">
        <v>1698</v>
      </c>
      <c r="C1058" s="319" t="s">
        <v>1173</v>
      </c>
      <c r="D1058" s="319" t="s">
        <v>1173</v>
      </c>
      <c r="E1058" s="320">
        <v>75000</v>
      </c>
      <c r="F1058" s="320">
        <v>75000</v>
      </c>
    </row>
    <row r="1059" spans="1:6" ht="76.5">
      <c r="A1059" s="318" t="s">
        <v>1318</v>
      </c>
      <c r="B1059" s="319" t="s">
        <v>1698</v>
      </c>
      <c r="C1059" s="319" t="s">
        <v>273</v>
      </c>
      <c r="D1059" s="319" t="s">
        <v>1173</v>
      </c>
      <c r="E1059" s="320">
        <v>75000</v>
      </c>
      <c r="F1059" s="320">
        <v>75000</v>
      </c>
    </row>
    <row r="1060" spans="1:6" ht="38.25">
      <c r="A1060" s="318" t="s">
        <v>1203</v>
      </c>
      <c r="B1060" s="319" t="s">
        <v>1698</v>
      </c>
      <c r="C1060" s="319" t="s">
        <v>28</v>
      </c>
      <c r="D1060" s="319" t="s">
        <v>1173</v>
      </c>
      <c r="E1060" s="320">
        <v>75000</v>
      </c>
      <c r="F1060" s="320">
        <v>75000</v>
      </c>
    </row>
    <row r="1061" spans="1:6">
      <c r="A1061" s="318" t="s">
        <v>234</v>
      </c>
      <c r="B1061" s="319" t="s">
        <v>1698</v>
      </c>
      <c r="C1061" s="319" t="s">
        <v>28</v>
      </c>
      <c r="D1061" s="319" t="s">
        <v>1135</v>
      </c>
      <c r="E1061" s="320">
        <v>75000</v>
      </c>
      <c r="F1061" s="320">
        <v>75000</v>
      </c>
    </row>
    <row r="1062" spans="1:6" ht="51">
      <c r="A1062" s="318" t="s">
        <v>1308</v>
      </c>
      <c r="B1062" s="319" t="s">
        <v>1698</v>
      </c>
      <c r="C1062" s="319" t="s">
        <v>28</v>
      </c>
      <c r="D1062" s="319" t="s">
        <v>322</v>
      </c>
      <c r="E1062" s="320">
        <v>75000</v>
      </c>
      <c r="F1062" s="320">
        <v>75000</v>
      </c>
    </row>
    <row r="1063" spans="1:6" ht="51">
      <c r="A1063" s="318" t="s">
        <v>600</v>
      </c>
      <c r="B1063" s="319" t="s">
        <v>1008</v>
      </c>
      <c r="C1063" s="319" t="s">
        <v>1173</v>
      </c>
      <c r="D1063" s="319" t="s">
        <v>1173</v>
      </c>
      <c r="E1063" s="320">
        <v>77935012.859999999</v>
      </c>
      <c r="F1063" s="320">
        <v>78503122.859999999</v>
      </c>
    </row>
    <row r="1064" spans="1:6" ht="89.25">
      <c r="A1064" s="318" t="s">
        <v>1346</v>
      </c>
      <c r="B1064" s="319" t="s">
        <v>1347</v>
      </c>
      <c r="C1064" s="319" t="s">
        <v>1173</v>
      </c>
      <c r="D1064" s="319" t="s">
        <v>1173</v>
      </c>
      <c r="E1064" s="320">
        <v>911400</v>
      </c>
      <c r="F1064" s="320">
        <v>911400</v>
      </c>
    </row>
    <row r="1065" spans="1:6" ht="76.5">
      <c r="A1065" s="318" t="s">
        <v>1318</v>
      </c>
      <c r="B1065" s="319" t="s">
        <v>1347</v>
      </c>
      <c r="C1065" s="319" t="s">
        <v>273</v>
      </c>
      <c r="D1065" s="319" t="s">
        <v>1173</v>
      </c>
      <c r="E1065" s="320">
        <v>802400</v>
      </c>
      <c r="F1065" s="320">
        <v>901400</v>
      </c>
    </row>
    <row r="1066" spans="1:6" ht="38.25">
      <c r="A1066" s="318" t="s">
        <v>1203</v>
      </c>
      <c r="B1066" s="319" t="s">
        <v>1347</v>
      </c>
      <c r="C1066" s="319" t="s">
        <v>28</v>
      </c>
      <c r="D1066" s="319" t="s">
        <v>1173</v>
      </c>
      <c r="E1066" s="320">
        <v>802400</v>
      </c>
      <c r="F1066" s="320">
        <v>901400</v>
      </c>
    </row>
    <row r="1067" spans="1:6">
      <c r="A1067" s="318" t="s">
        <v>141</v>
      </c>
      <c r="B1067" s="319" t="s">
        <v>1347</v>
      </c>
      <c r="C1067" s="319" t="s">
        <v>28</v>
      </c>
      <c r="D1067" s="319" t="s">
        <v>1143</v>
      </c>
      <c r="E1067" s="320">
        <v>802400</v>
      </c>
      <c r="F1067" s="320">
        <v>901400</v>
      </c>
    </row>
    <row r="1068" spans="1:6" ht="25.5">
      <c r="A1068" s="318" t="s">
        <v>63</v>
      </c>
      <c r="B1068" s="319" t="s">
        <v>1347</v>
      </c>
      <c r="C1068" s="319" t="s">
        <v>28</v>
      </c>
      <c r="D1068" s="319" t="s">
        <v>394</v>
      </c>
      <c r="E1068" s="320">
        <v>802400</v>
      </c>
      <c r="F1068" s="320">
        <v>901400</v>
      </c>
    </row>
    <row r="1069" spans="1:6" ht="38.25">
      <c r="A1069" s="318" t="s">
        <v>1319</v>
      </c>
      <c r="B1069" s="319" t="s">
        <v>1347</v>
      </c>
      <c r="C1069" s="319" t="s">
        <v>1320</v>
      </c>
      <c r="D1069" s="319" t="s">
        <v>1173</v>
      </c>
      <c r="E1069" s="320">
        <v>109000</v>
      </c>
      <c r="F1069" s="320">
        <v>10000</v>
      </c>
    </row>
    <row r="1070" spans="1:6" ht="38.25">
      <c r="A1070" s="318" t="s">
        <v>1196</v>
      </c>
      <c r="B1070" s="319" t="s">
        <v>1347</v>
      </c>
      <c r="C1070" s="319" t="s">
        <v>1197</v>
      </c>
      <c r="D1070" s="319" t="s">
        <v>1173</v>
      </c>
      <c r="E1070" s="320">
        <v>109000</v>
      </c>
      <c r="F1070" s="320">
        <v>10000</v>
      </c>
    </row>
    <row r="1071" spans="1:6">
      <c r="A1071" s="318" t="s">
        <v>141</v>
      </c>
      <c r="B1071" s="319" t="s">
        <v>1347</v>
      </c>
      <c r="C1071" s="319" t="s">
        <v>1197</v>
      </c>
      <c r="D1071" s="319" t="s">
        <v>1143</v>
      </c>
      <c r="E1071" s="320">
        <v>109000</v>
      </c>
      <c r="F1071" s="320">
        <v>10000</v>
      </c>
    </row>
    <row r="1072" spans="1:6" ht="25.5">
      <c r="A1072" s="318" t="s">
        <v>63</v>
      </c>
      <c r="B1072" s="319" t="s">
        <v>1347</v>
      </c>
      <c r="C1072" s="319" t="s">
        <v>1197</v>
      </c>
      <c r="D1072" s="319" t="s">
        <v>394</v>
      </c>
      <c r="E1072" s="320">
        <v>109000</v>
      </c>
      <c r="F1072" s="320">
        <v>10000</v>
      </c>
    </row>
    <row r="1073" spans="1:6" ht="51">
      <c r="A1073" s="318" t="s">
        <v>328</v>
      </c>
      <c r="B1073" s="319" t="s">
        <v>638</v>
      </c>
      <c r="C1073" s="319" t="s">
        <v>1173</v>
      </c>
      <c r="D1073" s="319" t="s">
        <v>1173</v>
      </c>
      <c r="E1073" s="320">
        <v>55753410.859999999</v>
      </c>
      <c r="F1073" s="320">
        <v>56321520.859999999</v>
      </c>
    </row>
    <row r="1074" spans="1:6" ht="76.5">
      <c r="A1074" s="318" t="s">
        <v>1318</v>
      </c>
      <c r="B1074" s="319" t="s">
        <v>638</v>
      </c>
      <c r="C1074" s="319" t="s">
        <v>273</v>
      </c>
      <c r="D1074" s="319" t="s">
        <v>1173</v>
      </c>
      <c r="E1074" s="320">
        <v>46536323</v>
      </c>
      <c r="F1074" s="320">
        <v>46536323</v>
      </c>
    </row>
    <row r="1075" spans="1:6" ht="38.25">
      <c r="A1075" s="318" t="s">
        <v>1203</v>
      </c>
      <c r="B1075" s="319" t="s">
        <v>638</v>
      </c>
      <c r="C1075" s="319" t="s">
        <v>28</v>
      </c>
      <c r="D1075" s="319" t="s">
        <v>1173</v>
      </c>
      <c r="E1075" s="320">
        <v>46536323</v>
      </c>
      <c r="F1075" s="320">
        <v>46536323</v>
      </c>
    </row>
    <row r="1076" spans="1:6">
      <c r="A1076" s="318" t="s">
        <v>234</v>
      </c>
      <c r="B1076" s="319" t="s">
        <v>638</v>
      </c>
      <c r="C1076" s="319" t="s">
        <v>28</v>
      </c>
      <c r="D1076" s="319" t="s">
        <v>1135</v>
      </c>
      <c r="E1076" s="320">
        <v>46536323</v>
      </c>
      <c r="F1076" s="320">
        <v>46536323</v>
      </c>
    </row>
    <row r="1077" spans="1:6" ht="63.75">
      <c r="A1077" s="318" t="s">
        <v>67</v>
      </c>
      <c r="B1077" s="319" t="s">
        <v>638</v>
      </c>
      <c r="C1077" s="319" t="s">
        <v>28</v>
      </c>
      <c r="D1077" s="319" t="s">
        <v>327</v>
      </c>
      <c r="E1077" s="320">
        <v>2790173</v>
      </c>
      <c r="F1077" s="320">
        <v>2790173</v>
      </c>
    </row>
    <row r="1078" spans="1:6" ht="76.5">
      <c r="A1078" s="318" t="s">
        <v>236</v>
      </c>
      <c r="B1078" s="319" t="s">
        <v>638</v>
      </c>
      <c r="C1078" s="319" t="s">
        <v>28</v>
      </c>
      <c r="D1078" s="319" t="s">
        <v>333</v>
      </c>
      <c r="E1078" s="320">
        <v>42808726</v>
      </c>
      <c r="F1078" s="320">
        <v>42808726</v>
      </c>
    </row>
    <row r="1079" spans="1:6" ht="51">
      <c r="A1079" s="318" t="s">
        <v>216</v>
      </c>
      <c r="B1079" s="319" t="s">
        <v>638</v>
      </c>
      <c r="C1079" s="319" t="s">
        <v>28</v>
      </c>
      <c r="D1079" s="319" t="s">
        <v>331</v>
      </c>
      <c r="E1079" s="320">
        <v>937424</v>
      </c>
      <c r="F1079" s="320">
        <v>937424</v>
      </c>
    </row>
    <row r="1080" spans="1:6" ht="38.25">
      <c r="A1080" s="318" t="s">
        <v>1319</v>
      </c>
      <c r="B1080" s="319" t="s">
        <v>638</v>
      </c>
      <c r="C1080" s="319" t="s">
        <v>1320</v>
      </c>
      <c r="D1080" s="319" t="s">
        <v>1173</v>
      </c>
      <c r="E1080" s="320">
        <v>8894275.8599999994</v>
      </c>
      <c r="F1080" s="320">
        <v>9462385.8599999994</v>
      </c>
    </row>
    <row r="1081" spans="1:6" ht="38.25">
      <c r="A1081" s="318" t="s">
        <v>1196</v>
      </c>
      <c r="B1081" s="319" t="s">
        <v>638</v>
      </c>
      <c r="C1081" s="319" t="s">
        <v>1197</v>
      </c>
      <c r="D1081" s="319" t="s">
        <v>1173</v>
      </c>
      <c r="E1081" s="320">
        <v>8894275.8599999994</v>
      </c>
      <c r="F1081" s="320">
        <v>9462385.8599999994</v>
      </c>
    </row>
    <row r="1082" spans="1:6">
      <c r="A1082" s="318" t="s">
        <v>234</v>
      </c>
      <c r="B1082" s="319" t="s">
        <v>638</v>
      </c>
      <c r="C1082" s="319" t="s">
        <v>1197</v>
      </c>
      <c r="D1082" s="319" t="s">
        <v>1135</v>
      </c>
      <c r="E1082" s="320">
        <v>8894275.8599999994</v>
      </c>
      <c r="F1082" s="320">
        <v>9462385.8599999994</v>
      </c>
    </row>
    <row r="1083" spans="1:6" ht="63.75">
      <c r="A1083" s="318" t="s">
        <v>67</v>
      </c>
      <c r="B1083" s="319" t="s">
        <v>638</v>
      </c>
      <c r="C1083" s="319" t="s">
        <v>1197</v>
      </c>
      <c r="D1083" s="319" t="s">
        <v>327</v>
      </c>
      <c r="E1083" s="320">
        <v>523750</v>
      </c>
      <c r="F1083" s="320">
        <v>523750</v>
      </c>
    </row>
    <row r="1084" spans="1:6" ht="76.5">
      <c r="A1084" s="318" t="s">
        <v>236</v>
      </c>
      <c r="B1084" s="319" t="s">
        <v>638</v>
      </c>
      <c r="C1084" s="319" t="s">
        <v>1197</v>
      </c>
      <c r="D1084" s="319" t="s">
        <v>333</v>
      </c>
      <c r="E1084" s="320">
        <v>8311773.8600000003</v>
      </c>
      <c r="F1084" s="320">
        <v>8879883.8599999994</v>
      </c>
    </row>
    <row r="1085" spans="1:6" ht="51">
      <c r="A1085" s="318" t="s">
        <v>216</v>
      </c>
      <c r="B1085" s="319" t="s">
        <v>638</v>
      </c>
      <c r="C1085" s="319" t="s">
        <v>1197</v>
      </c>
      <c r="D1085" s="319" t="s">
        <v>331</v>
      </c>
      <c r="E1085" s="320">
        <v>58752</v>
      </c>
      <c r="F1085" s="320">
        <v>58752</v>
      </c>
    </row>
    <row r="1086" spans="1:6">
      <c r="A1086" s="318" t="s">
        <v>1321</v>
      </c>
      <c r="B1086" s="319" t="s">
        <v>638</v>
      </c>
      <c r="C1086" s="319" t="s">
        <v>1322</v>
      </c>
      <c r="D1086" s="319" t="s">
        <v>1173</v>
      </c>
      <c r="E1086" s="320">
        <v>322812</v>
      </c>
      <c r="F1086" s="320">
        <v>322812</v>
      </c>
    </row>
    <row r="1087" spans="1:6">
      <c r="A1087" s="318" t="s">
        <v>1201</v>
      </c>
      <c r="B1087" s="319" t="s">
        <v>638</v>
      </c>
      <c r="C1087" s="319" t="s">
        <v>1202</v>
      </c>
      <c r="D1087" s="319" t="s">
        <v>1173</v>
      </c>
      <c r="E1087" s="320">
        <v>322812</v>
      </c>
      <c r="F1087" s="320">
        <v>322812</v>
      </c>
    </row>
    <row r="1088" spans="1:6">
      <c r="A1088" s="318" t="s">
        <v>234</v>
      </c>
      <c r="B1088" s="319" t="s">
        <v>638</v>
      </c>
      <c r="C1088" s="319" t="s">
        <v>1202</v>
      </c>
      <c r="D1088" s="319" t="s">
        <v>1135</v>
      </c>
      <c r="E1088" s="320">
        <v>322812</v>
      </c>
      <c r="F1088" s="320">
        <v>322812</v>
      </c>
    </row>
    <row r="1089" spans="1:6" ht="76.5">
      <c r="A1089" s="318" t="s">
        <v>236</v>
      </c>
      <c r="B1089" s="319" t="s">
        <v>638</v>
      </c>
      <c r="C1089" s="319" t="s">
        <v>1202</v>
      </c>
      <c r="D1089" s="319" t="s">
        <v>333</v>
      </c>
      <c r="E1089" s="320">
        <v>322812</v>
      </c>
      <c r="F1089" s="320">
        <v>322812</v>
      </c>
    </row>
    <row r="1090" spans="1:6" ht="102">
      <c r="A1090" s="318" t="s">
        <v>560</v>
      </c>
      <c r="B1090" s="319" t="s">
        <v>648</v>
      </c>
      <c r="C1090" s="319" t="s">
        <v>1173</v>
      </c>
      <c r="D1090" s="319" t="s">
        <v>1173</v>
      </c>
      <c r="E1090" s="320">
        <v>1371860</v>
      </c>
      <c r="F1090" s="320">
        <v>1371860</v>
      </c>
    </row>
    <row r="1091" spans="1:6" ht="76.5">
      <c r="A1091" s="318" t="s">
        <v>1318</v>
      </c>
      <c r="B1091" s="319" t="s">
        <v>648</v>
      </c>
      <c r="C1091" s="319" t="s">
        <v>273</v>
      </c>
      <c r="D1091" s="319" t="s">
        <v>1173</v>
      </c>
      <c r="E1091" s="320">
        <v>1371860</v>
      </c>
      <c r="F1091" s="320">
        <v>1371860</v>
      </c>
    </row>
    <row r="1092" spans="1:6" ht="38.25">
      <c r="A1092" s="318" t="s">
        <v>1203</v>
      </c>
      <c r="B1092" s="319" t="s">
        <v>648</v>
      </c>
      <c r="C1092" s="319" t="s">
        <v>28</v>
      </c>
      <c r="D1092" s="319" t="s">
        <v>1173</v>
      </c>
      <c r="E1092" s="320">
        <v>1371860</v>
      </c>
      <c r="F1092" s="320">
        <v>1371860</v>
      </c>
    </row>
    <row r="1093" spans="1:6">
      <c r="A1093" s="318" t="s">
        <v>234</v>
      </c>
      <c r="B1093" s="319" t="s">
        <v>648</v>
      </c>
      <c r="C1093" s="319" t="s">
        <v>28</v>
      </c>
      <c r="D1093" s="319" t="s">
        <v>1135</v>
      </c>
      <c r="E1093" s="320">
        <v>1371860</v>
      </c>
      <c r="F1093" s="320">
        <v>1371860</v>
      </c>
    </row>
    <row r="1094" spans="1:6" ht="76.5">
      <c r="A1094" s="318" t="s">
        <v>236</v>
      </c>
      <c r="B1094" s="319" t="s">
        <v>648</v>
      </c>
      <c r="C1094" s="319" t="s">
        <v>28</v>
      </c>
      <c r="D1094" s="319" t="s">
        <v>333</v>
      </c>
      <c r="E1094" s="320">
        <v>1371860</v>
      </c>
      <c r="F1094" s="320">
        <v>1371860</v>
      </c>
    </row>
    <row r="1095" spans="1:6" ht="76.5">
      <c r="A1095" s="318" t="s">
        <v>558</v>
      </c>
      <c r="B1095" s="319" t="s">
        <v>639</v>
      </c>
      <c r="C1095" s="319" t="s">
        <v>1173</v>
      </c>
      <c r="D1095" s="319" t="s">
        <v>1173</v>
      </c>
      <c r="E1095" s="320">
        <v>472000</v>
      </c>
      <c r="F1095" s="320">
        <v>472000</v>
      </c>
    </row>
    <row r="1096" spans="1:6" ht="76.5">
      <c r="A1096" s="318" t="s">
        <v>1318</v>
      </c>
      <c r="B1096" s="319" t="s">
        <v>639</v>
      </c>
      <c r="C1096" s="319" t="s">
        <v>273</v>
      </c>
      <c r="D1096" s="319" t="s">
        <v>1173</v>
      </c>
      <c r="E1096" s="320">
        <v>472000</v>
      </c>
      <c r="F1096" s="320">
        <v>472000</v>
      </c>
    </row>
    <row r="1097" spans="1:6" ht="38.25">
      <c r="A1097" s="318" t="s">
        <v>1203</v>
      </c>
      <c r="B1097" s="319" t="s">
        <v>639</v>
      </c>
      <c r="C1097" s="319" t="s">
        <v>28</v>
      </c>
      <c r="D1097" s="319" t="s">
        <v>1173</v>
      </c>
      <c r="E1097" s="320">
        <v>472000</v>
      </c>
      <c r="F1097" s="320">
        <v>472000</v>
      </c>
    </row>
    <row r="1098" spans="1:6">
      <c r="A1098" s="318" t="s">
        <v>234</v>
      </c>
      <c r="B1098" s="319" t="s">
        <v>639</v>
      </c>
      <c r="C1098" s="319" t="s">
        <v>28</v>
      </c>
      <c r="D1098" s="319" t="s">
        <v>1135</v>
      </c>
      <c r="E1098" s="320">
        <v>472000</v>
      </c>
      <c r="F1098" s="320">
        <v>472000</v>
      </c>
    </row>
    <row r="1099" spans="1:6" ht="63.75">
      <c r="A1099" s="318" t="s">
        <v>67</v>
      </c>
      <c r="B1099" s="319" t="s">
        <v>639</v>
      </c>
      <c r="C1099" s="319" t="s">
        <v>28</v>
      </c>
      <c r="D1099" s="319" t="s">
        <v>327</v>
      </c>
      <c r="E1099" s="320">
        <v>100000</v>
      </c>
      <c r="F1099" s="320">
        <v>100000</v>
      </c>
    </row>
    <row r="1100" spans="1:6" ht="76.5">
      <c r="A1100" s="318" t="s">
        <v>236</v>
      </c>
      <c r="B1100" s="319" t="s">
        <v>639</v>
      </c>
      <c r="C1100" s="319" t="s">
        <v>28</v>
      </c>
      <c r="D1100" s="319" t="s">
        <v>333</v>
      </c>
      <c r="E1100" s="320">
        <v>332000</v>
      </c>
      <c r="F1100" s="320">
        <v>332000</v>
      </c>
    </row>
    <row r="1101" spans="1:6" ht="51">
      <c r="A1101" s="318" t="s">
        <v>216</v>
      </c>
      <c r="B1101" s="319" t="s">
        <v>639</v>
      </c>
      <c r="C1101" s="319" t="s">
        <v>28</v>
      </c>
      <c r="D1101" s="319" t="s">
        <v>331</v>
      </c>
      <c r="E1101" s="320">
        <v>40000</v>
      </c>
      <c r="F1101" s="320">
        <v>40000</v>
      </c>
    </row>
    <row r="1102" spans="1:6" ht="76.5">
      <c r="A1102" s="318" t="s">
        <v>561</v>
      </c>
      <c r="B1102" s="319" t="s">
        <v>649</v>
      </c>
      <c r="C1102" s="319" t="s">
        <v>1173</v>
      </c>
      <c r="D1102" s="319" t="s">
        <v>1173</v>
      </c>
      <c r="E1102" s="320">
        <v>8288772</v>
      </c>
      <c r="F1102" s="320">
        <v>8288772</v>
      </c>
    </row>
    <row r="1103" spans="1:6" ht="76.5">
      <c r="A1103" s="318" t="s">
        <v>1318</v>
      </c>
      <c r="B1103" s="319" t="s">
        <v>649</v>
      </c>
      <c r="C1103" s="319" t="s">
        <v>273</v>
      </c>
      <c r="D1103" s="319" t="s">
        <v>1173</v>
      </c>
      <c r="E1103" s="320">
        <v>8288772</v>
      </c>
      <c r="F1103" s="320">
        <v>8288772</v>
      </c>
    </row>
    <row r="1104" spans="1:6" ht="38.25">
      <c r="A1104" s="318" t="s">
        <v>1203</v>
      </c>
      <c r="B1104" s="319" t="s">
        <v>649</v>
      </c>
      <c r="C1104" s="319" t="s">
        <v>28</v>
      </c>
      <c r="D1104" s="319" t="s">
        <v>1173</v>
      </c>
      <c r="E1104" s="320">
        <v>8288772</v>
      </c>
      <c r="F1104" s="320">
        <v>8288772</v>
      </c>
    </row>
    <row r="1105" spans="1:6">
      <c r="A1105" s="318" t="s">
        <v>234</v>
      </c>
      <c r="B1105" s="319" t="s">
        <v>649</v>
      </c>
      <c r="C1105" s="319" t="s">
        <v>28</v>
      </c>
      <c r="D1105" s="319" t="s">
        <v>1135</v>
      </c>
      <c r="E1105" s="320">
        <v>8288772</v>
      </c>
      <c r="F1105" s="320">
        <v>8288772</v>
      </c>
    </row>
    <row r="1106" spans="1:6" ht="76.5">
      <c r="A1106" s="318" t="s">
        <v>236</v>
      </c>
      <c r="B1106" s="319" t="s">
        <v>649</v>
      </c>
      <c r="C1106" s="319" t="s">
        <v>28</v>
      </c>
      <c r="D1106" s="319" t="s">
        <v>333</v>
      </c>
      <c r="E1106" s="320">
        <v>8288772</v>
      </c>
      <c r="F1106" s="320">
        <v>8288772</v>
      </c>
    </row>
    <row r="1107" spans="1:6" ht="51">
      <c r="A1107" s="318" t="s">
        <v>954</v>
      </c>
      <c r="B1107" s="319" t="s">
        <v>955</v>
      </c>
      <c r="C1107" s="319" t="s">
        <v>1173</v>
      </c>
      <c r="D1107" s="319" t="s">
        <v>1173</v>
      </c>
      <c r="E1107" s="320">
        <v>4330205</v>
      </c>
      <c r="F1107" s="320">
        <v>4330205</v>
      </c>
    </row>
    <row r="1108" spans="1:6" ht="38.25">
      <c r="A1108" s="318" t="s">
        <v>1319</v>
      </c>
      <c r="B1108" s="319" t="s">
        <v>955</v>
      </c>
      <c r="C1108" s="319" t="s">
        <v>1320</v>
      </c>
      <c r="D1108" s="319" t="s">
        <v>1173</v>
      </c>
      <c r="E1108" s="320">
        <v>4330205</v>
      </c>
      <c r="F1108" s="320">
        <v>4330205</v>
      </c>
    </row>
    <row r="1109" spans="1:6" ht="38.25">
      <c r="A1109" s="318" t="s">
        <v>1196</v>
      </c>
      <c r="B1109" s="319" t="s">
        <v>955</v>
      </c>
      <c r="C1109" s="319" t="s">
        <v>1197</v>
      </c>
      <c r="D1109" s="319" t="s">
        <v>1173</v>
      </c>
      <c r="E1109" s="320">
        <v>4330205</v>
      </c>
      <c r="F1109" s="320">
        <v>4330205</v>
      </c>
    </row>
    <row r="1110" spans="1:6">
      <c r="A1110" s="318" t="s">
        <v>234</v>
      </c>
      <c r="B1110" s="319" t="s">
        <v>955</v>
      </c>
      <c r="C1110" s="319" t="s">
        <v>1197</v>
      </c>
      <c r="D1110" s="319" t="s">
        <v>1135</v>
      </c>
      <c r="E1110" s="320">
        <v>4330205</v>
      </c>
      <c r="F1110" s="320">
        <v>4330205</v>
      </c>
    </row>
    <row r="1111" spans="1:6" ht="76.5">
      <c r="A1111" s="318" t="s">
        <v>236</v>
      </c>
      <c r="B1111" s="319" t="s">
        <v>955</v>
      </c>
      <c r="C1111" s="319" t="s">
        <v>1197</v>
      </c>
      <c r="D1111" s="319" t="s">
        <v>333</v>
      </c>
      <c r="E1111" s="320">
        <v>4330205</v>
      </c>
      <c r="F1111" s="320">
        <v>4330205</v>
      </c>
    </row>
    <row r="1112" spans="1:6" ht="63.75">
      <c r="A1112" s="318" t="s">
        <v>1509</v>
      </c>
      <c r="B1112" s="319" t="s">
        <v>1510</v>
      </c>
      <c r="C1112" s="319" t="s">
        <v>1173</v>
      </c>
      <c r="D1112" s="319" t="s">
        <v>1173</v>
      </c>
      <c r="E1112" s="320">
        <v>265731</v>
      </c>
      <c r="F1112" s="320">
        <v>265731</v>
      </c>
    </row>
    <row r="1113" spans="1:6" ht="38.25">
      <c r="A1113" s="318" t="s">
        <v>1319</v>
      </c>
      <c r="B1113" s="319" t="s">
        <v>1510</v>
      </c>
      <c r="C1113" s="319" t="s">
        <v>1320</v>
      </c>
      <c r="D1113" s="319" t="s">
        <v>1173</v>
      </c>
      <c r="E1113" s="320">
        <v>265731</v>
      </c>
      <c r="F1113" s="320">
        <v>265731</v>
      </c>
    </row>
    <row r="1114" spans="1:6" ht="38.25">
      <c r="A1114" s="318" t="s">
        <v>1196</v>
      </c>
      <c r="B1114" s="319" t="s">
        <v>1510</v>
      </c>
      <c r="C1114" s="319" t="s">
        <v>1197</v>
      </c>
      <c r="D1114" s="319" t="s">
        <v>1173</v>
      </c>
      <c r="E1114" s="320">
        <v>265731</v>
      </c>
      <c r="F1114" s="320">
        <v>265731</v>
      </c>
    </row>
    <row r="1115" spans="1:6">
      <c r="A1115" s="318" t="s">
        <v>234</v>
      </c>
      <c r="B1115" s="319" t="s">
        <v>1510</v>
      </c>
      <c r="C1115" s="319" t="s">
        <v>1197</v>
      </c>
      <c r="D1115" s="319" t="s">
        <v>1135</v>
      </c>
      <c r="E1115" s="320">
        <v>265731</v>
      </c>
      <c r="F1115" s="320">
        <v>265731</v>
      </c>
    </row>
    <row r="1116" spans="1:6" ht="76.5">
      <c r="A1116" s="318" t="s">
        <v>236</v>
      </c>
      <c r="B1116" s="319" t="s">
        <v>1510</v>
      </c>
      <c r="C1116" s="319" t="s">
        <v>1197</v>
      </c>
      <c r="D1116" s="319" t="s">
        <v>333</v>
      </c>
      <c r="E1116" s="320">
        <v>265731</v>
      </c>
      <c r="F1116" s="320">
        <v>265731</v>
      </c>
    </row>
    <row r="1117" spans="1:6" ht="38.25">
      <c r="A1117" s="318" t="s">
        <v>1073</v>
      </c>
      <c r="B1117" s="319" t="s">
        <v>1074</v>
      </c>
      <c r="C1117" s="319" t="s">
        <v>1173</v>
      </c>
      <c r="D1117" s="319" t="s">
        <v>1173</v>
      </c>
      <c r="E1117" s="320">
        <v>1029064</v>
      </c>
      <c r="F1117" s="320">
        <v>1029064</v>
      </c>
    </row>
    <row r="1118" spans="1:6" ht="38.25">
      <c r="A1118" s="318" t="s">
        <v>1319</v>
      </c>
      <c r="B1118" s="319" t="s">
        <v>1074</v>
      </c>
      <c r="C1118" s="319" t="s">
        <v>1320</v>
      </c>
      <c r="D1118" s="319" t="s">
        <v>1173</v>
      </c>
      <c r="E1118" s="320">
        <v>1029064</v>
      </c>
      <c r="F1118" s="320">
        <v>1029064</v>
      </c>
    </row>
    <row r="1119" spans="1:6" ht="38.25">
      <c r="A1119" s="318" t="s">
        <v>1196</v>
      </c>
      <c r="B1119" s="319" t="s">
        <v>1074</v>
      </c>
      <c r="C1119" s="319" t="s">
        <v>1197</v>
      </c>
      <c r="D1119" s="319" t="s">
        <v>1173</v>
      </c>
      <c r="E1119" s="320">
        <v>1029064</v>
      </c>
      <c r="F1119" s="320">
        <v>1029064</v>
      </c>
    </row>
    <row r="1120" spans="1:6">
      <c r="A1120" s="318" t="s">
        <v>234</v>
      </c>
      <c r="B1120" s="319" t="s">
        <v>1074</v>
      </c>
      <c r="C1120" s="319" t="s">
        <v>1197</v>
      </c>
      <c r="D1120" s="319" t="s">
        <v>1135</v>
      </c>
      <c r="E1120" s="320">
        <v>1029064</v>
      </c>
      <c r="F1120" s="320">
        <v>1029064</v>
      </c>
    </row>
    <row r="1121" spans="1:6" ht="76.5">
      <c r="A1121" s="318" t="s">
        <v>236</v>
      </c>
      <c r="B1121" s="319" t="s">
        <v>1074</v>
      </c>
      <c r="C1121" s="319" t="s">
        <v>1197</v>
      </c>
      <c r="D1121" s="319" t="s">
        <v>333</v>
      </c>
      <c r="E1121" s="320">
        <v>1029064</v>
      </c>
      <c r="F1121" s="320">
        <v>1029064</v>
      </c>
    </row>
    <row r="1122" spans="1:6" ht="102">
      <c r="A1122" s="318" t="s">
        <v>542</v>
      </c>
      <c r="B1122" s="319" t="s">
        <v>653</v>
      </c>
      <c r="C1122" s="319" t="s">
        <v>1173</v>
      </c>
      <c r="D1122" s="319" t="s">
        <v>1173</v>
      </c>
      <c r="E1122" s="320">
        <v>81000</v>
      </c>
      <c r="F1122" s="320">
        <v>81000</v>
      </c>
    </row>
    <row r="1123" spans="1:6" ht="76.5">
      <c r="A1123" s="318" t="s">
        <v>1318</v>
      </c>
      <c r="B1123" s="319" t="s">
        <v>653</v>
      </c>
      <c r="C1123" s="319" t="s">
        <v>273</v>
      </c>
      <c r="D1123" s="319" t="s">
        <v>1173</v>
      </c>
      <c r="E1123" s="320">
        <v>77700</v>
      </c>
      <c r="F1123" s="320">
        <v>77700</v>
      </c>
    </row>
    <row r="1124" spans="1:6" ht="38.25">
      <c r="A1124" s="318" t="s">
        <v>1203</v>
      </c>
      <c r="B1124" s="319" t="s">
        <v>653</v>
      </c>
      <c r="C1124" s="319" t="s">
        <v>28</v>
      </c>
      <c r="D1124" s="319" t="s">
        <v>1173</v>
      </c>
      <c r="E1124" s="320">
        <v>77700</v>
      </c>
      <c r="F1124" s="320">
        <v>77700</v>
      </c>
    </row>
    <row r="1125" spans="1:6">
      <c r="A1125" s="318" t="s">
        <v>234</v>
      </c>
      <c r="B1125" s="319" t="s">
        <v>653</v>
      </c>
      <c r="C1125" s="319" t="s">
        <v>28</v>
      </c>
      <c r="D1125" s="319" t="s">
        <v>1135</v>
      </c>
      <c r="E1125" s="320">
        <v>77700</v>
      </c>
      <c r="F1125" s="320">
        <v>77700</v>
      </c>
    </row>
    <row r="1126" spans="1:6">
      <c r="A1126" s="318" t="s">
        <v>217</v>
      </c>
      <c r="B1126" s="319" t="s">
        <v>653</v>
      </c>
      <c r="C1126" s="319" t="s">
        <v>28</v>
      </c>
      <c r="D1126" s="319" t="s">
        <v>337</v>
      </c>
      <c r="E1126" s="320">
        <v>77700</v>
      </c>
      <c r="F1126" s="320">
        <v>77700</v>
      </c>
    </row>
    <row r="1127" spans="1:6" ht="38.25">
      <c r="A1127" s="318" t="s">
        <v>1319</v>
      </c>
      <c r="B1127" s="319" t="s">
        <v>653</v>
      </c>
      <c r="C1127" s="319" t="s">
        <v>1320</v>
      </c>
      <c r="D1127" s="319" t="s">
        <v>1173</v>
      </c>
      <c r="E1127" s="320">
        <v>3300</v>
      </c>
      <c r="F1127" s="320">
        <v>3300</v>
      </c>
    </row>
    <row r="1128" spans="1:6" ht="38.25">
      <c r="A1128" s="318" t="s">
        <v>1196</v>
      </c>
      <c r="B1128" s="319" t="s">
        <v>653</v>
      </c>
      <c r="C1128" s="319" t="s">
        <v>1197</v>
      </c>
      <c r="D1128" s="319" t="s">
        <v>1173</v>
      </c>
      <c r="E1128" s="320">
        <v>3300</v>
      </c>
      <c r="F1128" s="320">
        <v>3300</v>
      </c>
    </row>
    <row r="1129" spans="1:6">
      <c r="A1129" s="318" t="s">
        <v>234</v>
      </c>
      <c r="B1129" s="319" t="s">
        <v>653</v>
      </c>
      <c r="C1129" s="319" t="s">
        <v>1197</v>
      </c>
      <c r="D1129" s="319" t="s">
        <v>1135</v>
      </c>
      <c r="E1129" s="320">
        <v>3300</v>
      </c>
      <c r="F1129" s="320">
        <v>3300</v>
      </c>
    </row>
    <row r="1130" spans="1:6">
      <c r="A1130" s="318" t="s">
        <v>217</v>
      </c>
      <c r="B1130" s="319" t="s">
        <v>653</v>
      </c>
      <c r="C1130" s="319" t="s">
        <v>1197</v>
      </c>
      <c r="D1130" s="319" t="s">
        <v>337</v>
      </c>
      <c r="E1130" s="320">
        <v>3300</v>
      </c>
      <c r="F1130" s="320">
        <v>3300</v>
      </c>
    </row>
    <row r="1131" spans="1:6" ht="76.5">
      <c r="A1131" s="318" t="s">
        <v>1663</v>
      </c>
      <c r="B1131" s="319" t="s">
        <v>1664</v>
      </c>
      <c r="C1131" s="319" t="s">
        <v>1173</v>
      </c>
      <c r="D1131" s="319" t="s">
        <v>1173</v>
      </c>
      <c r="E1131" s="320">
        <v>1887000</v>
      </c>
      <c r="F1131" s="320">
        <v>1887000</v>
      </c>
    </row>
    <row r="1132" spans="1:6" ht="76.5">
      <c r="A1132" s="318" t="s">
        <v>1318</v>
      </c>
      <c r="B1132" s="319" t="s">
        <v>1664</v>
      </c>
      <c r="C1132" s="319" t="s">
        <v>273</v>
      </c>
      <c r="D1132" s="319" t="s">
        <v>1173</v>
      </c>
      <c r="E1132" s="320">
        <v>1847000</v>
      </c>
      <c r="F1132" s="320">
        <v>1847000</v>
      </c>
    </row>
    <row r="1133" spans="1:6" ht="38.25">
      <c r="A1133" s="318" t="s">
        <v>1203</v>
      </c>
      <c r="B1133" s="319" t="s">
        <v>1664</v>
      </c>
      <c r="C1133" s="319" t="s">
        <v>28</v>
      </c>
      <c r="D1133" s="319" t="s">
        <v>1173</v>
      </c>
      <c r="E1133" s="320">
        <v>1847000</v>
      </c>
      <c r="F1133" s="320">
        <v>1847000</v>
      </c>
    </row>
    <row r="1134" spans="1:6">
      <c r="A1134" s="318" t="s">
        <v>183</v>
      </c>
      <c r="B1134" s="319" t="s">
        <v>1664</v>
      </c>
      <c r="C1134" s="319" t="s">
        <v>28</v>
      </c>
      <c r="D1134" s="319" t="s">
        <v>1140</v>
      </c>
      <c r="E1134" s="320">
        <v>1847000</v>
      </c>
      <c r="F1134" s="320">
        <v>1847000</v>
      </c>
    </row>
    <row r="1135" spans="1:6">
      <c r="A1135" s="318" t="s">
        <v>1661</v>
      </c>
      <c r="B1135" s="319" t="s">
        <v>1664</v>
      </c>
      <c r="C1135" s="319" t="s">
        <v>28</v>
      </c>
      <c r="D1135" s="319" t="s">
        <v>1662</v>
      </c>
      <c r="E1135" s="320">
        <v>1847000</v>
      </c>
      <c r="F1135" s="320">
        <v>1847000</v>
      </c>
    </row>
    <row r="1136" spans="1:6" ht="38.25">
      <c r="A1136" s="318" t="s">
        <v>1319</v>
      </c>
      <c r="B1136" s="319" t="s">
        <v>1664</v>
      </c>
      <c r="C1136" s="319" t="s">
        <v>1320</v>
      </c>
      <c r="D1136" s="319" t="s">
        <v>1173</v>
      </c>
      <c r="E1136" s="320">
        <v>40000</v>
      </c>
      <c r="F1136" s="320">
        <v>40000</v>
      </c>
    </row>
    <row r="1137" spans="1:6" ht="38.25">
      <c r="A1137" s="318" t="s">
        <v>1196</v>
      </c>
      <c r="B1137" s="319" t="s">
        <v>1664</v>
      </c>
      <c r="C1137" s="319" t="s">
        <v>1197</v>
      </c>
      <c r="D1137" s="319" t="s">
        <v>1173</v>
      </c>
      <c r="E1137" s="320">
        <v>40000</v>
      </c>
      <c r="F1137" s="320">
        <v>40000</v>
      </c>
    </row>
    <row r="1138" spans="1:6">
      <c r="A1138" s="318" t="s">
        <v>183</v>
      </c>
      <c r="B1138" s="319" t="s">
        <v>1664</v>
      </c>
      <c r="C1138" s="319" t="s">
        <v>1197</v>
      </c>
      <c r="D1138" s="319" t="s">
        <v>1140</v>
      </c>
      <c r="E1138" s="320">
        <v>40000</v>
      </c>
      <c r="F1138" s="320">
        <v>40000</v>
      </c>
    </row>
    <row r="1139" spans="1:6">
      <c r="A1139" s="318" t="s">
        <v>1661</v>
      </c>
      <c r="B1139" s="319" t="s">
        <v>1664</v>
      </c>
      <c r="C1139" s="319" t="s">
        <v>1197</v>
      </c>
      <c r="D1139" s="319" t="s">
        <v>1662</v>
      </c>
      <c r="E1139" s="320">
        <v>40000</v>
      </c>
      <c r="F1139" s="320">
        <v>40000</v>
      </c>
    </row>
    <row r="1140" spans="1:6" ht="102">
      <c r="A1140" s="318" t="s">
        <v>335</v>
      </c>
      <c r="B1140" s="319" t="s">
        <v>646</v>
      </c>
      <c r="C1140" s="319" t="s">
        <v>1173</v>
      </c>
      <c r="D1140" s="319" t="s">
        <v>1173</v>
      </c>
      <c r="E1140" s="320">
        <v>828000</v>
      </c>
      <c r="F1140" s="320">
        <v>828000</v>
      </c>
    </row>
    <row r="1141" spans="1:6" ht="76.5">
      <c r="A1141" s="318" t="s">
        <v>1318</v>
      </c>
      <c r="B1141" s="319" t="s">
        <v>646</v>
      </c>
      <c r="C1141" s="319" t="s">
        <v>273</v>
      </c>
      <c r="D1141" s="319" t="s">
        <v>1173</v>
      </c>
      <c r="E1141" s="320">
        <v>796200</v>
      </c>
      <c r="F1141" s="320">
        <v>796200</v>
      </c>
    </row>
    <row r="1142" spans="1:6" ht="38.25">
      <c r="A1142" s="318" t="s">
        <v>1203</v>
      </c>
      <c r="B1142" s="319" t="s">
        <v>646</v>
      </c>
      <c r="C1142" s="319" t="s">
        <v>28</v>
      </c>
      <c r="D1142" s="319" t="s">
        <v>1173</v>
      </c>
      <c r="E1142" s="320">
        <v>796200</v>
      </c>
      <c r="F1142" s="320">
        <v>796200</v>
      </c>
    </row>
    <row r="1143" spans="1:6">
      <c r="A1143" s="318" t="s">
        <v>234</v>
      </c>
      <c r="B1143" s="319" t="s">
        <v>646</v>
      </c>
      <c r="C1143" s="319" t="s">
        <v>28</v>
      </c>
      <c r="D1143" s="319" t="s">
        <v>1135</v>
      </c>
      <c r="E1143" s="320">
        <v>796200</v>
      </c>
      <c r="F1143" s="320">
        <v>796200</v>
      </c>
    </row>
    <row r="1144" spans="1:6" ht="76.5">
      <c r="A1144" s="318" t="s">
        <v>236</v>
      </c>
      <c r="B1144" s="319" t="s">
        <v>646</v>
      </c>
      <c r="C1144" s="319" t="s">
        <v>28</v>
      </c>
      <c r="D1144" s="319" t="s">
        <v>333</v>
      </c>
      <c r="E1144" s="320">
        <v>796200</v>
      </c>
      <c r="F1144" s="320">
        <v>796200</v>
      </c>
    </row>
    <row r="1145" spans="1:6" ht="38.25">
      <c r="A1145" s="318" t="s">
        <v>1319</v>
      </c>
      <c r="B1145" s="319" t="s">
        <v>646</v>
      </c>
      <c r="C1145" s="319" t="s">
        <v>1320</v>
      </c>
      <c r="D1145" s="319" t="s">
        <v>1173</v>
      </c>
      <c r="E1145" s="320">
        <v>31800</v>
      </c>
      <c r="F1145" s="320">
        <v>31800</v>
      </c>
    </row>
    <row r="1146" spans="1:6" ht="38.25">
      <c r="A1146" s="318" t="s">
        <v>1196</v>
      </c>
      <c r="B1146" s="319" t="s">
        <v>646</v>
      </c>
      <c r="C1146" s="319" t="s">
        <v>1197</v>
      </c>
      <c r="D1146" s="319" t="s">
        <v>1173</v>
      </c>
      <c r="E1146" s="320">
        <v>31800</v>
      </c>
      <c r="F1146" s="320">
        <v>31800</v>
      </c>
    </row>
    <row r="1147" spans="1:6">
      <c r="A1147" s="318" t="s">
        <v>234</v>
      </c>
      <c r="B1147" s="319" t="s">
        <v>646</v>
      </c>
      <c r="C1147" s="319" t="s">
        <v>1197</v>
      </c>
      <c r="D1147" s="319" t="s">
        <v>1135</v>
      </c>
      <c r="E1147" s="320">
        <v>31800</v>
      </c>
      <c r="F1147" s="320">
        <v>31800</v>
      </c>
    </row>
    <row r="1148" spans="1:6" ht="76.5">
      <c r="A1148" s="318" t="s">
        <v>236</v>
      </c>
      <c r="B1148" s="319" t="s">
        <v>646</v>
      </c>
      <c r="C1148" s="319" t="s">
        <v>1197</v>
      </c>
      <c r="D1148" s="319" t="s">
        <v>333</v>
      </c>
      <c r="E1148" s="320">
        <v>31800</v>
      </c>
      <c r="F1148" s="320">
        <v>31800</v>
      </c>
    </row>
    <row r="1149" spans="1:6" ht="51">
      <c r="A1149" s="318" t="s">
        <v>338</v>
      </c>
      <c r="B1149" s="319" t="s">
        <v>654</v>
      </c>
      <c r="C1149" s="319" t="s">
        <v>1173</v>
      </c>
      <c r="D1149" s="319" t="s">
        <v>1173</v>
      </c>
      <c r="E1149" s="320">
        <v>131900</v>
      </c>
      <c r="F1149" s="320">
        <v>131900</v>
      </c>
    </row>
    <row r="1150" spans="1:6" ht="76.5">
      <c r="A1150" s="318" t="s">
        <v>1318</v>
      </c>
      <c r="B1150" s="319" t="s">
        <v>654</v>
      </c>
      <c r="C1150" s="319" t="s">
        <v>273</v>
      </c>
      <c r="D1150" s="319" t="s">
        <v>1173</v>
      </c>
      <c r="E1150" s="320">
        <v>109547</v>
      </c>
      <c r="F1150" s="320">
        <v>109547</v>
      </c>
    </row>
    <row r="1151" spans="1:6" ht="38.25">
      <c r="A1151" s="318" t="s">
        <v>1203</v>
      </c>
      <c r="B1151" s="319" t="s">
        <v>654</v>
      </c>
      <c r="C1151" s="319" t="s">
        <v>28</v>
      </c>
      <c r="D1151" s="319" t="s">
        <v>1173</v>
      </c>
      <c r="E1151" s="320">
        <v>109547</v>
      </c>
      <c r="F1151" s="320">
        <v>109547</v>
      </c>
    </row>
    <row r="1152" spans="1:6">
      <c r="A1152" s="318" t="s">
        <v>234</v>
      </c>
      <c r="B1152" s="319" t="s">
        <v>654</v>
      </c>
      <c r="C1152" s="319" t="s">
        <v>28</v>
      </c>
      <c r="D1152" s="319" t="s">
        <v>1135</v>
      </c>
      <c r="E1152" s="320">
        <v>109547</v>
      </c>
      <c r="F1152" s="320">
        <v>109547</v>
      </c>
    </row>
    <row r="1153" spans="1:6">
      <c r="A1153" s="318" t="s">
        <v>217</v>
      </c>
      <c r="B1153" s="319" t="s">
        <v>654</v>
      </c>
      <c r="C1153" s="319" t="s">
        <v>28</v>
      </c>
      <c r="D1153" s="319" t="s">
        <v>337</v>
      </c>
      <c r="E1153" s="320">
        <v>109547</v>
      </c>
      <c r="F1153" s="320">
        <v>109547</v>
      </c>
    </row>
    <row r="1154" spans="1:6" ht="38.25">
      <c r="A1154" s="318" t="s">
        <v>1319</v>
      </c>
      <c r="B1154" s="319" t="s">
        <v>654</v>
      </c>
      <c r="C1154" s="319" t="s">
        <v>1320</v>
      </c>
      <c r="D1154" s="319" t="s">
        <v>1173</v>
      </c>
      <c r="E1154" s="320">
        <v>22353</v>
      </c>
      <c r="F1154" s="320">
        <v>22353</v>
      </c>
    </row>
    <row r="1155" spans="1:6" ht="38.25">
      <c r="A1155" s="318" t="s">
        <v>1196</v>
      </c>
      <c r="B1155" s="319" t="s">
        <v>654</v>
      </c>
      <c r="C1155" s="319" t="s">
        <v>1197</v>
      </c>
      <c r="D1155" s="319" t="s">
        <v>1173</v>
      </c>
      <c r="E1155" s="320">
        <v>22353</v>
      </c>
      <c r="F1155" s="320">
        <v>22353</v>
      </c>
    </row>
    <row r="1156" spans="1:6">
      <c r="A1156" s="318" t="s">
        <v>234</v>
      </c>
      <c r="B1156" s="319" t="s">
        <v>654</v>
      </c>
      <c r="C1156" s="319" t="s">
        <v>1197</v>
      </c>
      <c r="D1156" s="319" t="s">
        <v>1135</v>
      </c>
      <c r="E1156" s="320">
        <v>22353</v>
      </c>
      <c r="F1156" s="320">
        <v>22353</v>
      </c>
    </row>
    <row r="1157" spans="1:6">
      <c r="A1157" s="318" t="s">
        <v>217</v>
      </c>
      <c r="B1157" s="319" t="s">
        <v>654</v>
      </c>
      <c r="C1157" s="319" t="s">
        <v>1197</v>
      </c>
      <c r="D1157" s="319" t="s">
        <v>337</v>
      </c>
      <c r="E1157" s="320">
        <v>22353</v>
      </c>
      <c r="F1157" s="320">
        <v>22353</v>
      </c>
    </row>
    <row r="1158" spans="1:6" ht="76.5">
      <c r="A1158" s="318" t="s">
        <v>336</v>
      </c>
      <c r="B1158" s="319" t="s">
        <v>647</v>
      </c>
      <c r="C1158" s="319" t="s">
        <v>1173</v>
      </c>
      <c r="D1158" s="319" t="s">
        <v>1173</v>
      </c>
      <c r="E1158" s="320">
        <v>1624300</v>
      </c>
      <c r="F1158" s="320">
        <v>1624300</v>
      </c>
    </row>
    <row r="1159" spans="1:6" ht="76.5">
      <c r="A1159" s="318" t="s">
        <v>1318</v>
      </c>
      <c r="B1159" s="319" t="s">
        <v>647</v>
      </c>
      <c r="C1159" s="319" t="s">
        <v>273</v>
      </c>
      <c r="D1159" s="319" t="s">
        <v>1173</v>
      </c>
      <c r="E1159" s="320">
        <v>1579300</v>
      </c>
      <c r="F1159" s="320">
        <v>1579300</v>
      </c>
    </row>
    <row r="1160" spans="1:6" ht="38.25">
      <c r="A1160" s="318" t="s">
        <v>1203</v>
      </c>
      <c r="B1160" s="319" t="s">
        <v>647</v>
      </c>
      <c r="C1160" s="319" t="s">
        <v>28</v>
      </c>
      <c r="D1160" s="319" t="s">
        <v>1173</v>
      </c>
      <c r="E1160" s="320">
        <v>1579300</v>
      </c>
      <c r="F1160" s="320">
        <v>1579300</v>
      </c>
    </row>
    <row r="1161" spans="1:6">
      <c r="A1161" s="318" t="s">
        <v>234</v>
      </c>
      <c r="B1161" s="319" t="s">
        <v>647</v>
      </c>
      <c r="C1161" s="319" t="s">
        <v>28</v>
      </c>
      <c r="D1161" s="319" t="s">
        <v>1135</v>
      </c>
      <c r="E1161" s="320">
        <v>1579300</v>
      </c>
      <c r="F1161" s="320">
        <v>1579300</v>
      </c>
    </row>
    <row r="1162" spans="1:6" ht="76.5">
      <c r="A1162" s="318" t="s">
        <v>236</v>
      </c>
      <c r="B1162" s="319" t="s">
        <v>647</v>
      </c>
      <c r="C1162" s="319" t="s">
        <v>28</v>
      </c>
      <c r="D1162" s="319" t="s">
        <v>333</v>
      </c>
      <c r="E1162" s="320">
        <v>1579300</v>
      </c>
      <c r="F1162" s="320">
        <v>1579300</v>
      </c>
    </row>
    <row r="1163" spans="1:6" ht="38.25">
      <c r="A1163" s="318" t="s">
        <v>1319</v>
      </c>
      <c r="B1163" s="319" t="s">
        <v>647</v>
      </c>
      <c r="C1163" s="319" t="s">
        <v>1320</v>
      </c>
      <c r="D1163" s="319" t="s">
        <v>1173</v>
      </c>
      <c r="E1163" s="320">
        <v>45000</v>
      </c>
      <c r="F1163" s="320">
        <v>45000</v>
      </c>
    </row>
    <row r="1164" spans="1:6" ht="38.25">
      <c r="A1164" s="318" t="s">
        <v>1196</v>
      </c>
      <c r="B1164" s="319" t="s">
        <v>647</v>
      </c>
      <c r="C1164" s="319" t="s">
        <v>1197</v>
      </c>
      <c r="D1164" s="319" t="s">
        <v>1173</v>
      </c>
      <c r="E1164" s="320">
        <v>45000</v>
      </c>
      <c r="F1164" s="320">
        <v>45000</v>
      </c>
    </row>
    <row r="1165" spans="1:6">
      <c r="A1165" s="318" t="s">
        <v>234</v>
      </c>
      <c r="B1165" s="319" t="s">
        <v>647</v>
      </c>
      <c r="C1165" s="319" t="s">
        <v>1197</v>
      </c>
      <c r="D1165" s="319" t="s">
        <v>1135</v>
      </c>
      <c r="E1165" s="320">
        <v>45000</v>
      </c>
      <c r="F1165" s="320">
        <v>45000</v>
      </c>
    </row>
    <row r="1166" spans="1:6" ht="76.5">
      <c r="A1166" s="318" t="s">
        <v>236</v>
      </c>
      <c r="B1166" s="319" t="s">
        <v>647</v>
      </c>
      <c r="C1166" s="319" t="s">
        <v>1197</v>
      </c>
      <c r="D1166" s="319" t="s">
        <v>333</v>
      </c>
      <c r="E1166" s="320">
        <v>45000</v>
      </c>
      <c r="F1166" s="320">
        <v>45000</v>
      </c>
    </row>
    <row r="1167" spans="1:6" ht="178.5">
      <c r="A1167" s="318" t="s">
        <v>1838</v>
      </c>
      <c r="B1167" s="319" t="s">
        <v>1839</v>
      </c>
      <c r="C1167" s="319" t="s">
        <v>1173</v>
      </c>
      <c r="D1167" s="319" t="s">
        <v>1173</v>
      </c>
      <c r="E1167" s="320">
        <v>105500</v>
      </c>
      <c r="F1167" s="320">
        <v>105500</v>
      </c>
    </row>
    <row r="1168" spans="1:6" ht="76.5">
      <c r="A1168" s="318" t="s">
        <v>1318</v>
      </c>
      <c r="B1168" s="319" t="s">
        <v>1839</v>
      </c>
      <c r="C1168" s="319" t="s">
        <v>273</v>
      </c>
      <c r="D1168" s="319" t="s">
        <v>1173</v>
      </c>
      <c r="E1168" s="320">
        <v>102600</v>
      </c>
      <c r="F1168" s="320">
        <v>102600</v>
      </c>
    </row>
    <row r="1169" spans="1:6" ht="38.25">
      <c r="A1169" s="318" t="s">
        <v>1203</v>
      </c>
      <c r="B1169" s="319" t="s">
        <v>1839</v>
      </c>
      <c r="C1169" s="319" t="s">
        <v>28</v>
      </c>
      <c r="D1169" s="319" t="s">
        <v>1173</v>
      </c>
      <c r="E1169" s="320">
        <v>102600</v>
      </c>
      <c r="F1169" s="320">
        <v>102600</v>
      </c>
    </row>
    <row r="1170" spans="1:6">
      <c r="A1170" s="318" t="s">
        <v>234</v>
      </c>
      <c r="B1170" s="319" t="s">
        <v>1839</v>
      </c>
      <c r="C1170" s="319" t="s">
        <v>28</v>
      </c>
      <c r="D1170" s="319" t="s">
        <v>1135</v>
      </c>
      <c r="E1170" s="320">
        <v>102600</v>
      </c>
      <c r="F1170" s="320">
        <v>102600</v>
      </c>
    </row>
    <row r="1171" spans="1:6">
      <c r="A1171" s="318" t="s">
        <v>217</v>
      </c>
      <c r="B1171" s="319" t="s">
        <v>1839</v>
      </c>
      <c r="C1171" s="319" t="s">
        <v>28</v>
      </c>
      <c r="D1171" s="319" t="s">
        <v>337</v>
      </c>
      <c r="E1171" s="320">
        <v>102600</v>
      </c>
      <c r="F1171" s="320">
        <v>102600</v>
      </c>
    </row>
    <row r="1172" spans="1:6" ht="38.25">
      <c r="A1172" s="318" t="s">
        <v>1319</v>
      </c>
      <c r="B1172" s="319" t="s">
        <v>1839</v>
      </c>
      <c r="C1172" s="319" t="s">
        <v>1320</v>
      </c>
      <c r="D1172" s="319" t="s">
        <v>1173</v>
      </c>
      <c r="E1172" s="320">
        <v>2900</v>
      </c>
      <c r="F1172" s="320">
        <v>2900</v>
      </c>
    </row>
    <row r="1173" spans="1:6" ht="38.25">
      <c r="A1173" s="318" t="s">
        <v>1196</v>
      </c>
      <c r="B1173" s="319" t="s">
        <v>1839</v>
      </c>
      <c r="C1173" s="319" t="s">
        <v>1197</v>
      </c>
      <c r="D1173" s="319" t="s">
        <v>1173</v>
      </c>
      <c r="E1173" s="320">
        <v>2900</v>
      </c>
      <c r="F1173" s="320">
        <v>2900</v>
      </c>
    </row>
    <row r="1174" spans="1:6">
      <c r="A1174" s="318" t="s">
        <v>234</v>
      </c>
      <c r="B1174" s="319" t="s">
        <v>1839</v>
      </c>
      <c r="C1174" s="319" t="s">
        <v>1197</v>
      </c>
      <c r="D1174" s="319" t="s">
        <v>1135</v>
      </c>
      <c r="E1174" s="320">
        <v>2900</v>
      </c>
      <c r="F1174" s="320">
        <v>2900</v>
      </c>
    </row>
    <row r="1175" spans="1:6">
      <c r="A1175" s="318" t="s">
        <v>217</v>
      </c>
      <c r="B1175" s="319" t="s">
        <v>1839</v>
      </c>
      <c r="C1175" s="319" t="s">
        <v>1197</v>
      </c>
      <c r="D1175" s="319" t="s">
        <v>337</v>
      </c>
      <c r="E1175" s="320">
        <v>2900</v>
      </c>
      <c r="F1175" s="320">
        <v>2900</v>
      </c>
    </row>
    <row r="1176" spans="1:6" ht="267.75">
      <c r="A1176" s="318" t="s">
        <v>498</v>
      </c>
      <c r="B1176" s="319" t="s">
        <v>650</v>
      </c>
      <c r="C1176" s="319" t="s">
        <v>1173</v>
      </c>
      <c r="D1176" s="319" t="s">
        <v>1173</v>
      </c>
      <c r="E1176" s="320">
        <v>854870</v>
      </c>
      <c r="F1176" s="320">
        <v>854870</v>
      </c>
    </row>
    <row r="1177" spans="1:6" ht="76.5">
      <c r="A1177" s="318" t="s">
        <v>1318</v>
      </c>
      <c r="B1177" s="319" t="s">
        <v>650</v>
      </c>
      <c r="C1177" s="319" t="s">
        <v>273</v>
      </c>
      <c r="D1177" s="319" t="s">
        <v>1173</v>
      </c>
      <c r="E1177" s="320">
        <v>854870</v>
      </c>
      <c r="F1177" s="320">
        <v>854870</v>
      </c>
    </row>
    <row r="1178" spans="1:6" ht="38.25">
      <c r="A1178" s="318" t="s">
        <v>1203</v>
      </c>
      <c r="B1178" s="319" t="s">
        <v>650</v>
      </c>
      <c r="C1178" s="319" t="s">
        <v>28</v>
      </c>
      <c r="D1178" s="319" t="s">
        <v>1173</v>
      </c>
      <c r="E1178" s="320">
        <v>854870</v>
      </c>
      <c r="F1178" s="320">
        <v>854870</v>
      </c>
    </row>
    <row r="1179" spans="1:6">
      <c r="A1179" s="318" t="s">
        <v>234</v>
      </c>
      <c r="B1179" s="319" t="s">
        <v>650</v>
      </c>
      <c r="C1179" s="319" t="s">
        <v>28</v>
      </c>
      <c r="D1179" s="319" t="s">
        <v>1135</v>
      </c>
      <c r="E1179" s="320">
        <v>854870</v>
      </c>
      <c r="F1179" s="320">
        <v>854870</v>
      </c>
    </row>
    <row r="1180" spans="1:6" ht="76.5">
      <c r="A1180" s="318" t="s">
        <v>236</v>
      </c>
      <c r="B1180" s="319" t="s">
        <v>650</v>
      </c>
      <c r="C1180" s="319" t="s">
        <v>28</v>
      </c>
      <c r="D1180" s="319" t="s">
        <v>333</v>
      </c>
      <c r="E1180" s="320">
        <v>854870</v>
      </c>
      <c r="F1180" s="320">
        <v>854870</v>
      </c>
    </row>
    <row r="1181" spans="1:6" ht="63.75">
      <c r="A1181" s="318" t="s">
        <v>330</v>
      </c>
      <c r="B1181" s="319" t="s">
        <v>1009</v>
      </c>
      <c r="C1181" s="319" t="s">
        <v>1173</v>
      </c>
      <c r="D1181" s="319" t="s">
        <v>1173</v>
      </c>
      <c r="E1181" s="320">
        <v>3860247</v>
      </c>
      <c r="F1181" s="320">
        <v>3860247</v>
      </c>
    </row>
    <row r="1182" spans="1:6" ht="63.75">
      <c r="A1182" s="318" t="s">
        <v>330</v>
      </c>
      <c r="B1182" s="319" t="s">
        <v>640</v>
      </c>
      <c r="C1182" s="319" t="s">
        <v>1173</v>
      </c>
      <c r="D1182" s="319" t="s">
        <v>1173</v>
      </c>
      <c r="E1182" s="320">
        <v>3810247</v>
      </c>
      <c r="F1182" s="320">
        <v>3810247</v>
      </c>
    </row>
    <row r="1183" spans="1:6" ht="76.5">
      <c r="A1183" s="318" t="s">
        <v>1318</v>
      </c>
      <c r="B1183" s="319" t="s">
        <v>640</v>
      </c>
      <c r="C1183" s="319" t="s">
        <v>273</v>
      </c>
      <c r="D1183" s="319" t="s">
        <v>1173</v>
      </c>
      <c r="E1183" s="320">
        <v>3810247</v>
      </c>
      <c r="F1183" s="320">
        <v>3810247</v>
      </c>
    </row>
    <row r="1184" spans="1:6" ht="38.25">
      <c r="A1184" s="318" t="s">
        <v>1203</v>
      </c>
      <c r="B1184" s="319" t="s">
        <v>640</v>
      </c>
      <c r="C1184" s="319" t="s">
        <v>28</v>
      </c>
      <c r="D1184" s="319" t="s">
        <v>1173</v>
      </c>
      <c r="E1184" s="320">
        <v>3810247</v>
      </c>
      <c r="F1184" s="320">
        <v>3810247</v>
      </c>
    </row>
    <row r="1185" spans="1:6">
      <c r="A1185" s="318" t="s">
        <v>234</v>
      </c>
      <c r="B1185" s="319" t="s">
        <v>640</v>
      </c>
      <c r="C1185" s="319" t="s">
        <v>28</v>
      </c>
      <c r="D1185" s="319" t="s">
        <v>1135</v>
      </c>
      <c r="E1185" s="320">
        <v>3810247</v>
      </c>
      <c r="F1185" s="320">
        <v>3810247</v>
      </c>
    </row>
    <row r="1186" spans="1:6" ht="63.75">
      <c r="A1186" s="318" t="s">
        <v>67</v>
      </c>
      <c r="B1186" s="319" t="s">
        <v>640</v>
      </c>
      <c r="C1186" s="319" t="s">
        <v>28</v>
      </c>
      <c r="D1186" s="319" t="s">
        <v>327</v>
      </c>
      <c r="E1186" s="320">
        <v>3810247</v>
      </c>
      <c r="F1186" s="320">
        <v>3810247</v>
      </c>
    </row>
    <row r="1187" spans="1:6" ht="76.5">
      <c r="A1187" s="318" t="s">
        <v>1136</v>
      </c>
      <c r="B1187" s="319" t="s">
        <v>641</v>
      </c>
      <c r="C1187" s="319" t="s">
        <v>1173</v>
      </c>
      <c r="D1187" s="319" t="s">
        <v>1173</v>
      </c>
      <c r="E1187" s="320">
        <v>50000</v>
      </c>
      <c r="F1187" s="320">
        <v>50000</v>
      </c>
    </row>
    <row r="1188" spans="1:6" ht="76.5">
      <c r="A1188" s="318" t="s">
        <v>1318</v>
      </c>
      <c r="B1188" s="319" t="s">
        <v>641</v>
      </c>
      <c r="C1188" s="319" t="s">
        <v>273</v>
      </c>
      <c r="D1188" s="319" t="s">
        <v>1173</v>
      </c>
      <c r="E1188" s="320">
        <v>50000</v>
      </c>
      <c r="F1188" s="320">
        <v>50000</v>
      </c>
    </row>
    <row r="1189" spans="1:6" ht="38.25">
      <c r="A1189" s="318" t="s">
        <v>1203</v>
      </c>
      <c r="B1189" s="319" t="s">
        <v>641</v>
      </c>
      <c r="C1189" s="319" t="s">
        <v>28</v>
      </c>
      <c r="D1189" s="319" t="s">
        <v>1173</v>
      </c>
      <c r="E1189" s="320">
        <v>50000</v>
      </c>
      <c r="F1189" s="320">
        <v>50000</v>
      </c>
    </row>
    <row r="1190" spans="1:6">
      <c r="A1190" s="318" t="s">
        <v>234</v>
      </c>
      <c r="B1190" s="319" t="s">
        <v>641</v>
      </c>
      <c r="C1190" s="319" t="s">
        <v>28</v>
      </c>
      <c r="D1190" s="319" t="s">
        <v>1135</v>
      </c>
      <c r="E1190" s="320">
        <v>50000</v>
      </c>
      <c r="F1190" s="320">
        <v>50000</v>
      </c>
    </row>
    <row r="1191" spans="1:6" ht="63.75">
      <c r="A1191" s="318" t="s">
        <v>67</v>
      </c>
      <c r="B1191" s="319" t="s">
        <v>641</v>
      </c>
      <c r="C1191" s="319" t="s">
        <v>28</v>
      </c>
      <c r="D1191" s="319" t="s">
        <v>327</v>
      </c>
      <c r="E1191" s="320">
        <v>50000</v>
      </c>
      <c r="F1191" s="320">
        <v>50000</v>
      </c>
    </row>
    <row r="1192" spans="1:6" ht="76.5">
      <c r="A1192" s="318" t="s">
        <v>332</v>
      </c>
      <c r="B1192" s="319" t="s">
        <v>1010</v>
      </c>
      <c r="C1192" s="319" t="s">
        <v>1173</v>
      </c>
      <c r="D1192" s="319" t="s">
        <v>1173</v>
      </c>
      <c r="E1192" s="320">
        <v>1288446</v>
      </c>
      <c r="F1192" s="320">
        <v>1288446</v>
      </c>
    </row>
    <row r="1193" spans="1:6" ht="76.5">
      <c r="A1193" s="318" t="s">
        <v>332</v>
      </c>
      <c r="B1193" s="319" t="s">
        <v>642</v>
      </c>
      <c r="C1193" s="319" t="s">
        <v>1173</v>
      </c>
      <c r="D1193" s="319" t="s">
        <v>1173</v>
      </c>
      <c r="E1193" s="320">
        <v>1248446</v>
      </c>
      <c r="F1193" s="320">
        <v>1248446</v>
      </c>
    </row>
    <row r="1194" spans="1:6" ht="76.5">
      <c r="A1194" s="318" t="s">
        <v>1318</v>
      </c>
      <c r="B1194" s="319" t="s">
        <v>642</v>
      </c>
      <c r="C1194" s="319" t="s">
        <v>273</v>
      </c>
      <c r="D1194" s="319" t="s">
        <v>1173</v>
      </c>
      <c r="E1194" s="320">
        <v>1248446</v>
      </c>
      <c r="F1194" s="320">
        <v>1248446</v>
      </c>
    </row>
    <row r="1195" spans="1:6" ht="38.25">
      <c r="A1195" s="318" t="s">
        <v>1203</v>
      </c>
      <c r="B1195" s="319" t="s">
        <v>642</v>
      </c>
      <c r="C1195" s="319" t="s">
        <v>28</v>
      </c>
      <c r="D1195" s="319" t="s">
        <v>1173</v>
      </c>
      <c r="E1195" s="320">
        <v>1248446</v>
      </c>
      <c r="F1195" s="320">
        <v>1248446</v>
      </c>
    </row>
    <row r="1196" spans="1:6">
      <c r="A1196" s="318" t="s">
        <v>234</v>
      </c>
      <c r="B1196" s="319" t="s">
        <v>642</v>
      </c>
      <c r="C1196" s="319" t="s">
        <v>28</v>
      </c>
      <c r="D1196" s="319" t="s">
        <v>1135</v>
      </c>
      <c r="E1196" s="320">
        <v>1248446</v>
      </c>
      <c r="F1196" s="320">
        <v>1248446</v>
      </c>
    </row>
    <row r="1197" spans="1:6" ht="51">
      <c r="A1197" s="318" t="s">
        <v>216</v>
      </c>
      <c r="B1197" s="319" t="s">
        <v>642</v>
      </c>
      <c r="C1197" s="319" t="s">
        <v>28</v>
      </c>
      <c r="D1197" s="319" t="s">
        <v>331</v>
      </c>
      <c r="E1197" s="320">
        <v>1248446</v>
      </c>
      <c r="F1197" s="320">
        <v>1248446</v>
      </c>
    </row>
    <row r="1198" spans="1:6" ht="89.25">
      <c r="A1198" s="318" t="s">
        <v>559</v>
      </c>
      <c r="B1198" s="319" t="s">
        <v>643</v>
      </c>
      <c r="C1198" s="319" t="s">
        <v>1173</v>
      </c>
      <c r="D1198" s="319" t="s">
        <v>1173</v>
      </c>
      <c r="E1198" s="320">
        <v>40000</v>
      </c>
      <c r="F1198" s="320">
        <v>40000</v>
      </c>
    </row>
    <row r="1199" spans="1:6" ht="76.5">
      <c r="A1199" s="318" t="s">
        <v>1318</v>
      </c>
      <c r="B1199" s="319" t="s">
        <v>643</v>
      </c>
      <c r="C1199" s="319" t="s">
        <v>273</v>
      </c>
      <c r="D1199" s="319" t="s">
        <v>1173</v>
      </c>
      <c r="E1199" s="320">
        <v>40000</v>
      </c>
      <c r="F1199" s="320">
        <v>40000</v>
      </c>
    </row>
    <row r="1200" spans="1:6" ht="38.25">
      <c r="A1200" s="318" t="s">
        <v>1203</v>
      </c>
      <c r="B1200" s="319" t="s">
        <v>643</v>
      </c>
      <c r="C1200" s="319" t="s">
        <v>28</v>
      </c>
      <c r="D1200" s="319" t="s">
        <v>1173</v>
      </c>
      <c r="E1200" s="320">
        <v>40000</v>
      </c>
      <c r="F1200" s="320">
        <v>40000</v>
      </c>
    </row>
    <row r="1201" spans="1:6">
      <c r="A1201" s="318" t="s">
        <v>234</v>
      </c>
      <c r="B1201" s="319" t="s">
        <v>643</v>
      </c>
      <c r="C1201" s="319" t="s">
        <v>28</v>
      </c>
      <c r="D1201" s="319" t="s">
        <v>1135</v>
      </c>
      <c r="E1201" s="320">
        <v>40000</v>
      </c>
      <c r="F1201" s="320">
        <v>40000</v>
      </c>
    </row>
    <row r="1202" spans="1:6" ht="51">
      <c r="A1202" s="318" t="s">
        <v>216</v>
      </c>
      <c r="B1202" s="319" t="s">
        <v>643</v>
      </c>
      <c r="C1202" s="319" t="s">
        <v>28</v>
      </c>
      <c r="D1202" s="319" t="s">
        <v>331</v>
      </c>
      <c r="E1202" s="320">
        <v>40000</v>
      </c>
      <c r="F1202" s="320">
        <v>40000</v>
      </c>
    </row>
    <row r="1203" spans="1:6" ht="25.5">
      <c r="A1203" s="318" t="s">
        <v>601</v>
      </c>
      <c r="B1203" s="319" t="s">
        <v>1011</v>
      </c>
      <c r="C1203" s="319" t="s">
        <v>1173</v>
      </c>
      <c r="D1203" s="319" t="s">
        <v>1173</v>
      </c>
      <c r="E1203" s="320">
        <v>18011278</v>
      </c>
      <c r="F1203" s="320">
        <v>17986578</v>
      </c>
    </row>
    <row r="1204" spans="1:6" ht="51">
      <c r="A1204" s="318" t="s">
        <v>427</v>
      </c>
      <c r="B1204" s="319" t="s">
        <v>1012</v>
      </c>
      <c r="C1204" s="319" t="s">
        <v>1173</v>
      </c>
      <c r="D1204" s="319" t="s">
        <v>1173</v>
      </c>
      <c r="E1204" s="320">
        <v>2000000</v>
      </c>
      <c r="F1204" s="320">
        <v>2000000</v>
      </c>
    </row>
    <row r="1205" spans="1:6" ht="51">
      <c r="A1205" s="318" t="s">
        <v>427</v>
      </c>
      <c r="B1205" s="319" t="s">
        <v>793</v>
      </c>
      <c r="C1205" s="319" t="s">
        <v>1173</v>
      </c>
      <c r="D1205" s="319" t="s">
        <v>1173</v>
      </c>
      <c r="E1205" s="320">
        <v>2000000</v>
      </c>
      <c r="F1205" s="320">
        <v>2000000</v>
      </c>
    </row>
    <row r="1206" spans="1:6">
      <c r="A1206" s="318" t="s">
        <v>1321</v>
      </c>
      <c r="B1206" s="319" t="s">
        <v>793</v>
      </c>
      <c r="C1206" s="319" t="s">
        <v>1322</v>
      </c>
      <c r="D1206" s="319" t="s">
        <v>1173</v>
      </c>
      <c r="E1206" s="320">
        <v>2000000</v>
      </c>
      <c r="F1206" s="320">
        <v>2000000</v>
      </c>
    </row>
    <row r="1207" spans="1:6">
      <c r="A1207" s="318" t="s">
        <v>428</v>
      </c>
      <c r="B1207" s="319" t="s">
        <v>793</v>
      </c>
      <c r="C1207" s="319" t="s">
        <v>429</v>
      </c>
      <c r="D1207" s="319" t="s">
        <v>1173</v>
      </c>
      <c r="E1207" s="320">
        <v>2000000</v>
      </c>
      <c r="F1207" s="320">
        <v>2000000</v>
      </c>
    </row>
    <row r="1208" spans="1:6">
      <c r="A1208" s="318" t="s">
        <v>234</v>
      </c>
      <c r="B1208" s="319" t="s">
        <v>793</v>
      </c>
      <c r="C1208" s="319" t="s">
        <v>429</v>
      </c>
      <c r="D1208" s="319" t="s">
        <v>1135</v>
      </c>
      <c r="E1208" s="320">
        <v>2000000</v>
      </c>
      <c r="F1208" s="320">
        <v>2000000</v>
      </c>
    </row>
    <row r="1209" spans="1:6">
      <c r="A1209" s="318" t="s">
        <v>60</v>
      </c>
      <c r="B1209" s="319" t="s">
        <v>793</v>
      </c>
      <c r="C1209" s="319" t="s">
        <v>429</v>
      </c>
      <c r="D1209" s="319" t="s">
        <v>426</v>
      </c>
      <c r="E1209" s="320">
        <v>2000000</v>
      </c>
      <c r="F1209" s="320">
        <v>2000000</v>
      </c>
    </row>
    <row r="1210" spans="1:6" ht="89.25">
      <c r="A1210" s="318" t="s">
        <v>2039</v>
      </c>
      <c r="B1210" s="319" t="s">
        <v>1193</v>
      </c>
      <c r="C1210" s="319" t="s">
        <v>1173</v>
      </c>
      <c r="D1210" s="319" t="s">
        <v>1173</v>
      </c>
      <c r="E1210" s="320">
        <v>6500</v>
      </c>
      <c r="F1210" s="320">
        <v>5800</v>
      </c>
    </row>
    <row r="1211" spans="1:6" ht="89.25">
      <c r="A1211" s="318" t="s">
        <v>2039</v>
      </c>
      <c r="B1211" s="319" t="s">
        <v>651</v>
      </c>
      <c r="C1211" s="319" t="s">
        <v>1173</v>
      </c>
      <c r="D1211" s="319" t="s">
        <v>1173</v>
      </c>
      <c r="E1211" s="320">
        <v>6500</v>
      </c>
      <c r="F1211" s="320">
        <v>5800</v>
      </c>
    </row>
    <row r="1212" spans="1:6" ht="38.25">
      <c r="A1212" s="318" t="s">
        <v>1319</v>
      </c>
      <c r="B1212" s="319" t="s">
        <v>651</v>
      </c>
      <c r="C1212" s="319" t="s">
        <v>1320</v>
      </c>
      <c r="D1212" s="319" t="s">
        <v>1173</v>
      </c>
      <c r="E1212" s="320">
        <v>6500</v>
      </c>
      <c r="F1212" s="320">
        <v>5800</v>
      </c>
    </row>
    <row r="1213" spans="1:6" ht="38.25">
      <c r="A1213" s="318" t="s">
        <v>1196</v>
      </c>
      <c r="B1213" s="319" t="s">
        <v>651</v>
      </c>
      <c r="C1213" s="319" t="s">
        <v>1197</v>
      </c>
      <c r="D1213" s="319" t="s">
        <v>1173</v>
      </c>
      <c r="E1213" s="320">
        <v>6500</v>
      </c>
      <c r="F1213" s="320">
        <v>5800</v>
      </c>
    </row>
    <row r="1214" spans="1:6">
      <c r="A1214" s="318" t="s">
        <v>234</v>
      </c>
      <c r="B1214" s="319" t="s">
        <v>651</v>
      </c>
      <c r="C1214" s="319" t="s">
        <v>1197</v>
      </c>
      <c r="D1214" s="319" t="s">
        <v>1135</v>
      </c>
      <c r="E1214" s="320">
        <v>6500</v>
      </c>
      <c r="F1214" s="320">
        <v>5800</v>
      </c>
    </row>
    <row r="1215" spans="1:6">
      <c r="A1215" s="318" t="s">
        <v>1191</v>
      </c>
      <c r="B1215" s="319" t="s">
        <v>651</v>
      </c>
      <c r="C1215" s="319" t="s">
        <v>1197</v>
      </c>
      <c r="D1215" s="319" t="s">
        <v>1192</v>
      </c>
      <c r="E1215" s="320">
        <v>6500</v>
      </c>
      <c r="F1215" s="320">
        <v>5800</v>
      </c>
    </row>
    <row r="1216" spans="1:6" ht="51">
      <c r="A1216" s="318" t="s">
        <v>390</v>
      </c>
      <c r="B1216" s="319" t="s">
        <v>1013</v>
      </c>
      <c r="C1216" s="319" t="s">
        <v>1173</v>
      </c>
      <c r="D1216" s="319" t="s">
        <v>1173</v>
      </c>
      <c r="E1216" s="320">
        <v>5499200</v>
      </c>
      <c r="F1216" s="320">
        <v>5499200</v>
      </c>
    </row>
    <row r="1217" spans="1:6" ht="51">
      <c r="A1217" s="318" t="s">
        <v>390</v>
      </c>
      <c r="B1217" s="319" t="s">
        <v>694</v>
      </c>
      <c r="C1217" s="319" t="s">
        <v>1173</v>
      </c>
      <c r="D1217" s="319" t="s">
        <v>1173</v>
      </c>
      <c r="E1217" s="320">
        <v>5379200</v>
      </c>
      <c r="F1217" s="320">
        <v>5379200</v>
      </c>
    </row>
    <row r="1218" spans="1:6" ht="76.5">
      <c r="A1218" s="318" t="s">
        <v>1318</v>
      </c>
      <c r="B1218" s="319" t="s">
        <v>694</v>
      </c>
      <c r="C1218" s="319" t="s">
        <v>273</v>
      </c>
      <c r="D1218" s="319" t="s">
        <v>1173</v>
      </c>
      <c r="E1218" s="320">
        <v>5003677</v>
      </c>
      <c r="F1218" s="320">
        <v>5003677</v>
      </c>
    </row>
    <row r="1219" spans="1:6" ht="25.5">
      <c r="A1219" s="318" t="s">
        <v>1190</v>
      </c>
      <c r="B1219" s="319" t="s">
        <v>694</v>
      </c>
      <c r="C1219" s="319" t="s">
        <v>133</v>
      </c>
      <c r="D1219" s="319" t="s">
        <v>1173</v>
      </c>
      <c r="E1219" s="320">
        <v>5003677</v>
      </c>
      <c r="F1219" s="320">
        <v>5003677</v>
      </c>
    </row>
    <row r="1220" spans="1:6" ht="25.5">
      <c r="A1220" s="318" t="s">
        <v>239</v>
      </c>
      <c r="B1220" s="319" t="s">
        <v>694</v>
      </c>
      <c r="C1220" s="319" t="s">
        <v>133</v>
      </c>
      <c r="D1220" s="319" t="s">
        <v>1141</v>
      </c>
      <c r="E1220" s="320">
        <v>5003677</v>
      </c>
      <c r="F1220" s="320">
        <v>5003677</v>
      </c>
    </row>
    <row r="1221" spans="1:6" ht="25.5">
      <c r="A1221" s="318" t="s">
        <v>151</v>
      </c>
      <c r="B1221" s="319" t="s">
        <v>694</v>
      </c>
      <c r="C1221" s="319" t="s">
        <v>133</v>
      </c>
      <c r="D1221" s="319" t="s">
        <v>389</v>
      </c>
      <c r="E1221" s="320">
        <v>5003677</v>
      </c>
      <c r="F1221" s="320">
        <v>5003677</v>
      </c>
    </row>
    <row r="1222" spans="1:6" ht="38.25">
      <c r="A1222" s="318" t="s">
        <v>1319</v>
      </c>
      <c r="B1222" s="319" t="s">
        <v>694</v>
      </c>
      <c r="C1222" s="319" t="s">
        <v>1320</v>
      </c>
      <c r="D1222" s="319" t="s">
        <v>1173</v>
      </c>
      <c r="E1222" s="320">
        <v>375523</v>
      </c>
      <c r="F1222" s="320">
        <v>375523</v>
      </c>
    </row>
    <row r="1223" spans="1:6" ht="38.25">
      <c r="A1223" s="318" t="s">
        <v>1196</v>
      </c>
      <c r="B1223" s="319" t="s">
        <v>694</v>
      </c>
      <c r="C1223" s="319" t="s">
        <v>1197</v>
      </c>
      <c r="D1223" s="319" t="s">
        <v>1173</v>
      </c>
      <c r="E1223" s="320">
        <v>375523</v>
      </c>
      <c r="F1223" s="320">
        <v>375523</v>
      </c>
    </row>
    <row r="1224" spans="1:6" ht="25.5">
      <c r="A1224" s="318" t="s">
        <v>239</v>
      </c>
      <c r="B1224" s="319" t="s">
        <v>694</v>
      </c>
      <c r="C1224" s="319" t="s">
        <v>1197</v>
      </c>
      <c r="D1224" s="319" t="s">
        <v>1141</v>
      </c>
      <c r="E1224" s="320">
        <v>375523</v>
      </c>
      <c r="F1224" s="320">
        <v>375523</v>
      </c>
    </row>
    <row r="1225" spans="1:6" ht="25.5">
      <c r="A1225" s="318" t="s">
        <v>151</v>
      </c>
      <c r="B1225" s="319" t="s">
        <v>694</v>
      </c>
      <c r="C1225" s="319" t="s">
        <v>1197</v>
      </c>
      <c r="D1225" s="319" t="s">
        <v>389</v>
      </c>
      <c r="E1225" s="320">
        <v>375523</v>
      </c>
      <c r="F1225" s="320">
        <v>375523</v>
      </c>
    </row>
    <row r="1226" spans="1:6" ht="76.5">
      <c r="A1226" s="318" t="s">
        <v>563</v>
      </c>
      <c r="B1226" s="319" t="s">
        <v>695</v>
      </c>
      <c r="C1226" s="319" t="s">
        <v>1173</v>
      </c>
      <c r="D1226" s="319" t="s">
        <v>1173</v>
      </c>
      <c r="E1226" s="320">
        <v>120000</v>
      </c>
      <c r="F1226" s="320">
        <v>120000</v>
      </c>
    </row>
    <row r="1227" spans="1:6" ht="76.5">
      <c r="A1227" s="318" t="s">
        <v>1318</v>
      </c>
      <c r="B1227" s="319" t="s">
        <v>695</v>
      </c>
      <c r="C1227" s="319" t="s">
        <v>273</v>
      </c>
      <c r="D1227" s="319" t="s">
        <v>1173</v>
      </c>
      <c r="E1227" s="320">
        <v>120000</v>
      </c>
      <c r="F1227" s="320">
        <v>120000</v>
      </c>
    </row>
    <row r="1228" spans="1:6" ht="25.5">
      <c r="A1228" s="318" t="s">
        <v>1190</v>
      </c>
      <c r="B1228" s="319" t="s">
        <v>695</v>
      </c>
      <c r="C1228" s="319" t="s">
        <v>133</v>
      </c>
      <c r="D1228" s="319" t="s">
        <v>1173</v>
      </c>
      <c r="E1228" s="320">
        <v>120000</v>
      </c>
      <c r="F1228" s="320">
        <v>120000</v>
      </c>
    </row>
    <row r="1229" spans="1:6" ht="25.5">
      <c r="A1229" s="318" t="s">
        <v>239</v>
      </c>
      <c r="B1229" s="319" t="s">
        <v>695</v>
      </c>
      <c r="C1229" s="319" t="s">
        <v>133</v>
      </c>
      <c r="D1229" s="319" t="s">
        <v>1141</v>
      </c>
      <c r="E1229" s="320">
        <v>120000</v>
      </c>
      <c r="F1229" s="320">
        <v>120000</v>
      </c>
    </row>
    <row r="1230" spans="1:6" ht="25.5">
      <c r="A1230" s="318" t="s">
        <v>151</v>
      </c>
      <c r="B1230" s="319" t="s">
        <v>695</v>
      </c>
      <c r="C1230" s="319" t="s">
        <v>133</v>
      </c>
      <c r="D1230" s="319" t="s">
        <v>389</v>
      </c>
      <c r="E1230" s="320">
        <v>120000</v>
      </c>
      <c r="F1230" s="320">
        <v>120000</v>
      </c>
    </row>
    <row r="1231" spans="1:6" ht="76.5">
      <c r="A1231" s="318" t="s">
        <v>2040</v>
      </c>
      <c r="B1231" s="319" t="s">
        <v>1014</v>
      </c>
      <c r="C1231" s="319" t="s">
        <v>1173</v>
      </c>
      <c r="D1231" s="319" t="s">
        <v>1173</v>
      </c>
      <c r="E1231" s="320">
        <v>60000</v>
      </c>
      <c r="F1231" s="320">
        <v>60000</v>
      </c>
    </row>
    <row r="1232" spans="1:6" ht="76.5">
      <c r="A1232" s="318" t="s">
        <v>2040</v>
      </c>
      <c r="B1232" s="319" t="s">
        <v>655</v>
      </c>
      <c r="C1232" s="319" t="s">
        <v>1173</v>
      </c>
      <c r="D1232" s="319" t="s">
        <v>1173</v>
      </c>
      <c r="E1232" s="320">
        <v>60000</v>
      </c>
      <c r="F1232" s="320">
        <v>60000</v>
      </c>
    </row>
    <row r="1233" spans="1:6" ht="25.5">
      <c r="A1233" s="318" t="s">
        <v>1323</v>
      </c>
      <c r="B1233" s="319" t="s">
        <v>655</v>
      </c>
      <c r="C1233" s="319" t="s">
        <v>1324</v>
      </c>
      <c r="D1233" s="319" t="s">
        <v>1173</v>
      </c>
      <c r="E1233" s="320">
        <v>60000</v>
      </c>
      <c r="F1233" s="320">
        <v>60000</v>
      </c>
    </row>
    <row r="1234" spans="1:6" ht="25.5">
      <c r="A1234" s="318" t="s">
        <v>339</v>
      </c>
      <c r="B1234" s="319" t="s">
        <v>655</v>
      </c>
      <c r="C1234" s="319" t="s">
        <v>340</v>
      </c>
      <c r="D1234" s="319" t="s">
        <v>1173</v>
      </c>
      <c r="E1234" s="320">
        <v>60000</v>
      </c>
      <c r="F1234" s="320">
        <v>60000</v>
      </c>
    </row>
    <row r="1235" spans="1:6">
      <c r="A1235" s="318" t="s">
        <v>234</v>
      </c>
      <c r="B1235" s="319" t="s">
        <v>655</v>
      </c>
      <c r="C1235" s="319" t="s">
        <v>340</v>
      </c>
      <c r="D1235" s="319" t="s">
        <v>1135</v>
      </c>
      <c r="E1235" s="320">
        <v>60000</v>
      </c>
      <c r="F1235" s="320">
        <v>60000</v>
      </c>
    </row>
    <row r="1236" spans="1:6">
      <c r="A1236" s="318" t="s">
        <v>217</v>
      </c>
      <c r="B1236" s="319" t="s">
        <v>655</v>
      </c>
      <c r="C1236" s="319" t="s">
        <v>340</v>
      </c>
      <c r="D1236" s="319" t="s">
        <v>337</v>
      </c>
      <c r="E1236" s="320">
        <v>60000</v>
      </c>
      <c r="F1236" s="320">
        <v>60000</v>
      </c>
    </row>
    <row r="1237" spans="1:6" ht="38.25">
      <c r="A1237" s="318" t="s">
        <v>1063</v>
      </c>
      <c r="B1237" s="319" t="s">
        <v>1064</v>
      </c>
      <c r="C1237" s="319" t="s">
        <v>1173</v>
      </c>
      <c r="D1237" s="319" t="s">
        <v>1173</v>
      </c>
      <c r="E1237" s="320">
        <v>8316621</v>
      </c>
      <c r="F1237" s="320">
        <v>8316621</v>
      </c>
    </row>
    <row r="1238" spans="1:6" ht="38.25">
      <c r="A1238" s="318" t="s">
        <v>1063</v>
      </c>
      <c r="B1238" s="319" t="s">
        <v>1076</v>
      </c>
      <c r="C1238" s="319" t="s">
        <v>1173</v>
      </c>
      <c r="D1238" s="319" t="s">
        <v>1173</v>
      </c>
      <c r="E1238" s="320">
        <v>8086621</v>
      </c>
      <c r="F1238" s="320">
        <v>8086621</v>
      </c>
    </row>
    <row r="1239" spans="1:6" ht="76.5">
      <c r="A1239" s="318" t="s">
        <v>1318</v>
      </c>
      <c r="B1239" s="319" t="s">
        <v>1076</v>
      </c>
      <c r="C1239" s="319" t="s">
        <v>273</v>
      </c>
      <c r="D1239" s="319" t="s">
        <v>1173</v>
      </c>
      <c r="E1239" s="320">
        <v>7676847</v>
      </c>
      <c r="F1239" s="320">
        <v>7676847</v>
      </c>
    </row>
    <row r="1240" spans="1:6" ht="38.25">
      <c r="A1240" s="318" t="s">
        <v>1203</v>
      </c>
      <c r="B1240" s="319" t="s">
        <v>1076</v>
      </c>
      <c r="C1240" s="319" t="s">
        <v>28</v>
      </c>
      <c r="D1240" s="319" t="s">
        <v>1173</v>
      </c>
      <c r="E1240" s="320">
        <v>7676847</v>
      </c>
      <c r="F1240" s="320">
        <v>7676847</v>
      </c>
    </row>
    <row r="1241" spans="1:6">
      <c r="A1241" s="318" t="s">
        <v>234</v>
      </c>
      <c r="B1241" s="319" t="s">
        <v>1076</v>
      </c>
      <c r="C1241" s="319" t="s">
        <v>28</v>
      </c>
      <c r="D1241" s="319" t="s">
        <v>1135</v>
      </c>
      <c r="E1241" s="320">
        <v>7676847</v>
      </c>
      <c r="F1241" s="320">
        <v>7676847</v>
      </c>
    </row>
    <row r="1242" spans="1:6">
      <c r="A1242" s="318" t="s">
        <v>217</v>
      </c>
      <c r="B1242" s="319" t="s">
        <v>1076</v>
      </c>
      <c r="C1242" s="319" t="s">
        <v>28</v>
      </c>
      <c r="D1242" s="319" t="s">
        <v>337</v>
      </c>
      <c r="E1242" s="320">
        <v>7676847</v>
      </c>
      <c r="F1242" s="320">
        <v>7676847</v>
      </c>
    </row>
    <row r="1243" spans="1:6" ht="38.25">
      <c r="A1243" s="318" t="s">
        <v>1319</v>
      </c>
      <c r="B1243" s="319" t="s">
        <v>1076</v>
      </c>
      <c r="C1243" s="319" t="s">
        <v>1320</v>
      </c>
      <c r="D1243" s="319" t="s">
        <v>1173</v>
      </c>
      <c r="E1243" s="320">
        <v>409774</v>
      </c>
      <c r="F1243" s="320">
        <v>409774</v>
      </c>
    </row>
    <row r="1244" spans="1:6" ht="38.25">
      <c r="A1244" s="318" t="s">
        <v>1196</v>
      </c>
      <c r="B1244" s="319" t="s">
        <v>1076</v>
      </c>
      <c r="C1244" s="319" t="s">
        <v>1197</v>
      </c>
      <c r="D1244" s="319" t="s">
        <v>1173</v>
      </c>
      <c r="E1244" s="320">
        <v>409774</v>
      </c>
      <c r="F1244" s="320">
        <v>409774</v>
      </c>
    </row>
    <row r="1245" spans="1:6">
      <c r="A1245" s="318" t="s">
        <v>234</v>
      </c>
      <c r="B1245" s="319" t="s">
        <v>1076</v>
      </c>
      <c r="C1245" s="319" t="s">
        <v>1197</v>
      </c>
      <c r="D1245" s="319" t="s">
        <v>1135</v>
      </c>
      <c r="E1245" s="320">
        <v>409774</v>
      </c>
      <c r="F1245" s="320">
        <v>409774</v>
      </c>
    </row>
    <row r="1246" spans="1:6">
      <c r="A1246" s="318" t="s">
        <v>217</v>
      </c>
      <c r="B1246" s="319" t="s">
        <v>1076</v>
      </c>
      <c r="C1246" s="319" t="s">
        <v>1197</v>
      </c>
      <c r="D1246" s="319" t="s">
        <v>337</v>
      </c>
      <c r="E1246" s="320">
        <v>409774</v>
      </c>
      <c r="F1246" s="320">
        <v>409774</v>
      </c>
    </row>
    <row r="1247" spans="1:6" ht="63.75">
      <c r="A1247" s="318" t="s">
        <v>1145</v>
      </c>
      <c r="B1247" s="319" t="s">
        <v>1146</v>
      </c>
      <c r="C1247" s="319" t="s">
        <v>1173</v>
      </c>
      <c r="D1247" s="319" t="s">
        <v>1173</v>
      </c>
      <c r="E1247" s="320">
        <v>230000</v>
      </c>
      <c r="F1247" s="320">
        <v>230000</v>
      </c>
    </row>
    <row r="1248" spans="1:6" ht="76.5">
      <c r="A1248" s="318" t="s">
        <v>1318</v>
      </c>
      <c r="B1248" s="319" t="s">
        <v>1146</v>
      </c>
      <c r="C1248" s="319" t="s">
        <v>273</v>
      </c>
      <c r="D1248" s="319" t="s">
        <v>1173</v>
      </c>
      <c r="E1248" s="320">
        <v>230000</v>
      </c>
      <c r="F1248" s="320">
        <v>230000</v>
      </c>
    </row>
    <row r="1249" spans="1:6" ht="38.25">
      <c r="A1249" s="318" t="s">
        <v>1203</v>
      </c>
      <c r="B1249" s="319" t="s">
        <v>1146</v>
      </c>
      <c r="C1249" s="319" t="s">
        <v>28</v>
      </c>
      <c r="D1249" s="319" t="s">
        <v>1173</v>
      </c>
      <c r="E1249" s="320">
        <v>230000</v>
      </c>
      <c r="F1249" s="320">
        <v>230000</v>
      </c>
    </row>
    <row r="1250" spans="1:6">
      <c r="A1250" s="318" t="s">
        <v>234</v>
      </c>
      <c r="B1250" s="319" t="s">
        <v>1146</v>
      </c>
      <c r="C1250" s="319" t="s">
        <v>28</v>
      </c>
      <c r="D1250" s="319" t="s">
        <v>1135</v>
      </c>
      <c r="E1250" s="320">
        <v>230000</v>
      </c>
      <c r="F1250" s="320">
        <v>230000</v>
      </c>
    </row>
    <row r="1251" spans="1:6">
      <c r="A1251" s="318" t="s">
        <v>217</v>
      </c>
      <c r="B1251" s="319" t="s">
        <v>1146</v>
      </c>
      <c r="C1251" s="319" t="s">
        <v>28</v>
      </c>
      <c r="D1251" s="319" t="s">
        <v>337</v>
      </c>
      <c r="E1251" s="320">
        <v>230000</v>
      </c>
      <c r="F1251" s="320">
        <v>230000</v>
      </c>
    </row>
    <row r="1252" spans="1:6" ht="38.25">
      <c r="A1252" s="318" t="s">
        <v>431</v>
      </c>
      <c r="B1252" s="319" t="s">
        <v>1015</v>
      </c>
      <c r="C1252" s="319" t="s">
        <v>1173</v>
      </c>
      <c r="D1252" s="319" t="s">
        <v>1173</v>
      </c>
      <c r="E1252" s="320">
        <v>2128957</v>
      </c>
      <c r="F1252" s="320">
        <v>2104957</v>
      </c>
    </row>
    <row r="1253" spans="1:6" ht="38.25">
      <c r="A1253" s="318" t="s">
        <v>431</v>
      </c>
      <c r="B1253" s="319" t="s">
        <v>795</v>
      </c>
      <c r="C1253" s="319" t="s">
        <v>1173</v>
      </c>
      <c r="D1253" s="319" t="s">
        <v>1173</v>
      </c>
      <c r="E1253" s="320">
        <v>124000</v>
      </c>
      <c r="F1253" s="320">
        <v>100000</v>
      </c>
    </row>
    <row r="1254" spans="1:6" ht="25.5">
      <c r="A1254" s="318" t="s">
        <v>1969</v>
      </c>
      <c r="B1254" s="319" t="s">
        <v>795</v>
      </c>
      <c r="C1254" s="319" t="s">
        <v>1970</v>
      </c>
      <c r="D1254" s="319" t="s">
        <v>1173</v>
      </c>
      <c r="E1254" s="320">
        <v>24000</v>
      </c>
      <c r="F1254" s="320">
        <v>0</v>
      </c>
    </row>
    <row r="1255" spans="1:6">
      <c r="A1255" s="318" t="s">
        <v>1971</v>
      </c>
      <c r="B1255" s="319" t="s">
        <v>795</v>
      </c>
      <c r="C1255" s="319" t="s">
        <v>1972</v>
      </c>
      <c r="D1255" s="319" t="s">
        <v>1173</v>
      </c>
      <c r="E1255" s="320">
        <v>24000</v>
      </c>
      <c r="F1255" s="320">
        <v>0</v>
      </c>
    </row>
    <row r="1256" spans="1:6" ht="25.5">
      <c r="A1256" s="318" t="s">
        <v>1965</v>
      </c>
      <c r="B1256" s="319" t="s">
        <v>795</v>
      </c>
      <c r="C1256" s="319" t="s">
        <v>1972</v>
      </c>
      <c r="D1256" s="319" t="s">
        <v>1966</v>
      </c>
      <c r="E1256" s="320">
        <v>24000</v>
      </c>
      <c r="F1256" s="320">
        <v>0</v>
      </c>
    </row>
    <row r="1257" spans="1:6" ht="25.5">
      <c r="A1257" s="318" t="s">
        <v>1967</v>
      </c>
      <c r="B1257" s="319" t="s">
        <v>795</v>
      </c>
      <c r="C1257" s="319" t="s">
        <v>1972</v>
      </c>
      <c r="D1257" s="319" t="s">
        <v>1968</v>
      </c>
      <c r="E1257" s="320">
        <v>24000</v>
      </c>
      <c r="F1257" s="320">
        <v>0</v>
      </c>
    </row>
    <row r="1258" spans="1:6">
      <c r="A1258" s="318" t="s">
        <v>1321</v>
      </c>
      <c r="B1258" s="319" t="s">
        <v>795</v>
      </c>
      <c r="C1258" s="319" t="s">
        <v>1322</v>
      </c>
      <c r="D1258" s="319" t="s">
        <v>1173</v>
      </c>
      <c r="E1258" s="320">
        <v>100000</v>
      </c>
      <c r="F1258" s="320">
        <v>100000</v>
      </c>
    </row>
    <row r="1259" spans="1:6">
      <c r="A1259" s="318" t="s">
        <v>1210</v>
      </c>
      <c r="B1259" s="319" t="s">
        <v>795</v>
      </c>
      <c r="C1259" s="319" t="s">
        <v>201</v>
      </c>
      <c r="D1259" s="319" t="s">
        <v>1173</v>
      </c>
      <c r="E1259" s="320">
        <v>100000</v>
      </c>
      <c r="F1259" s="320">
        <v>100000</v>
      </c>
    </row>
    <row r="1260" spans="1:6">
      <c r="A1260" s="318" t="s">
        <v>234</v>
      </c>
      <c r="B1260" s="319" t="s">
        <v>795</v>
      </c>
      <c r="C1260" s="319" t="s">
        <v>201</v>
      </c>
      <c r="D1260" s="319" t="s">
        <v>1135</v>
      </c>
      <c r="E1260" s="320">
        <v>100000</v>
      </c>
      <c r="F1260" s="320">
        <v>100000</v>
      </c>
    </row>
    <row r="1261" spans="1:6">
      <c r="A1261" s="318" t="s">
        <v>217</v>
      </c>
      <c r="B1261" s="319" t="s">
        <v>795</v>
      </c>
      <c r="C1261" s="319" t="s">
        <v>201</v>
      </c>
      <c r="D1261" s="319" t="s">
        <v>337</v>
      </c>
      <c r="E1261" s="320">
        <v>100000</v>
      </c>
      <c r="F1261" s="320">
        <v>100000</v>
      </c>
    </row>
    <row r="1262" spans="1:6" ht="63.75">
      <c r="A1262" s="318" t="s">
        <v>527</v>
      </c>
      <c r="B1262" s="319" t="s">
        <v>734</v>
      </c>
      <c r="C1262" s="319" t="s">
        <v>1173</v>
      </c>
      <c r="D1262" s="319" t="s">
        <v>1173</v>
      </c>
      <c r="E1262" s="320">
        <v>1350000</v>
      </c>
      <c r="F1262" s="320">
        <v>1350000</v>
      </c>
    </row>
    <row r="1263" spans="1:6" ht="38.25">
      <c r="A1263" s="318" t="s">
        <v>1319</v>
      </c>
      <c r="B1263" s="319" t="s">
        <v>734</v>
      </c>
      <c r="C1263" s="319" t="s">
        <v>1320</v>
      </c>
      <c r="D1263" s="319" t="s">
        <v>1173</v>
      </c>
      <c r="E1263" s="320">
        <v>1350000</v>
      </c>
      <c r="F1263" s="320">
        <v>1350000</v>
      </c>
    </row>
    <row r="1264" spans="1:6" ht="38.25">
      <c r="A1264" s="318" t="s">
        <v>1196</v>
      </c>
      <c r="B1264" s="319" t="s">
        <v>734</v>
      </c>
      <c r="C1264" s="319" t="s">
        <v>1197</v>
      </c>
      <c r="D1264" s="319" t="s">
        <v>1173</v>
      </c>
      <c r="E1264" s="320">
        <v>1350000</v>
      </c>
      <c r="F1264" s="320">
        <v>1350000</v>
      </c>
    </row>
    <row r="1265" spans="1:6">
      <c r="A1265" s="318" t="s">
        <v>234</v>
      </c>
      <c r="B1265" s="319" t="s">
        <v>734</v>
      </c>
      <c r="C1265" s="319" t="s">
        <v>1197</v>
      </c>
      <c r="D1265" s="319" t="s">
        <v>1135</v>
      </c>
      <c r="E1265" s="320">
        <v>1350000</v>
      </c>
      <c r="F1265" s="320">
        <v>1350000</v>
      </c>
    </row>
    <row r="1266" spans="1:6">
      <c r="A1266" s="318" t="s">
        <v>217</v>
      </c>
      <c r="B1266" s="319" t="s">
        <v>734</v>
      </c>
      <c r="C1266" s="319" t="s">
        <v>1197</v>
      </c>
      <c r="D1266" s="319" t="s">
        <v>337</v>
      </c>
      <c r="E1266" s="320">
        <v>1350000</v>
      </c>
      <c r="F1266" s="320">
        <v>1350000</v>
      </c>
    </row>
    <row r="1267" spans="1:6" ht="63.75">
      <c r="A1267" s="318" t="s">
        <v>403</v>
      </c>
      <c r="B1267" s="319" t="s">
        <v>735</v>
      </c>
      <c r="C1267" s="319" t="s">
        <v>1173</v>
      </c>
      <c r="D1267" s="319" t="s">
        <v>1173</v>
      </c>
      <c r="E1267" s="320">
        <v>600000</v>
      </c>
      <c r="F1267" s="320">
        <v>600000</v>
      </c>
    </row>
    <row r="1268" spans="1:6" ht="38.25">
      <c r="A1268" s="318" t="s">
        <v>1319</v>
      </c>
      <c r="B1268" s="319" t="s">
        <v>735</v>
      </c>
      <c r="C1268" s="319" t="s">
        <v>1320</v>
      </c>
      <c r="D1268" s="319" t="s">
        <v>1173</v>
      </c>
      <c r="E1268" s="320">
        <v>600000</v>
      </c>
      <c r="F1268" s="320">
        <v>600000</v>
      </c>
    </row>
    <row r="1269" spans="1:6" ht="38.25">
      <c r="A1269" s="318" t="s">
        <v>1196</v>
      </c>
      <c r="B1269" s="319" t="s">
        <v>735</v>
      </c>
      <c r="C1269" s="319" t="s">
        <v>1197</v>
      </c>
      <c r="D1269" s="319" t="s">
        <v>1173</v>
      </c>
      <c r="E1269" s="320">
        <v>600000</v>
      </c>
      <c r="F1269" s="320">
        <v>600000</v>
      </c>
    </row>
    <row r="1270" spans="1:6">
      <c r="A1270" s="318" t="s">
        <v>183</v>
      </c>
      <c r="B1270" s="319" t="s">
        <v>735</v>
      </c>
      <c r="C1270" s="319" t="s">
        <v>1197</v>
      </c>
      <c r="D1270" s="319" t="s">
        <v>1140</v>
      </c>
      <c r="E1270" s="320">
        <v>600000</v>
      </c>
      <c r="F1270" s="320">
        <v>600000</v>
      </c>
    </row>
    <row r="1271" spans="1:6" ht="25.5">
      <c r="A1271" s="318" t="s">
        <v>145</v>
      </c>
      <c r="B1271" s="319" t="s">
        <v>735</v>
      </c>
      <c r="C1271" s="319" t="s">
        <v>1197</v>
      </c>
      <c r="D1271" s="319" t="s">
        <v>360</v>
      </c>
      <c r="E1271" s="320">
        <v>600000</v>
      </c>
      <c r="F1271" s="320">
        <v>600000</v>
      </c>
    </row>
    <row r="1272" spans="1:6" ht="63.75">
      <c r="A1272" s="318" t="s">
        <v>680</v>
      </c>
      <c r="B1272" s="319" t="s">
        <v>681</v>
      </c>
      <c r="C1272" s="319" t="s">
        <v>1173</v>
      </c>
      <c r="D1272" s="319" t="s">
        <v>1173</v>
      </c>
      <c r="E1272" s="320">
        <v>54957</v>
      </c>
      <c r="F1272" s="320">
        <v>54957</v>
      </c>
    </row>
    <row r="1273" spans="1:6" ht="38.25">
      <c r="A1273" s="318" t="s">
        <v>1319</v>
      </c>
      <c r="B1273" s="319" t="s">
        <v>681</v>
      </c>
      <c r="C1273" s="319" t="s">
        <v>1320</v>
      </c>
      <c r="D1273" s="319" t="s">
        <v>1173</v>
      </c>
      <c r="E1273" s="320">
        <v>54957</v>
      </c>
      <c r="F1273" s="320">
        <v>54957</v>
      </c>
    </row>
    <row r="1274" spans="1:6" ht="38.25">
      <c r="A1274" s="318" t="s">
        <v>1196</v>
      </c>
      <c r="B1274" s="319" t="s">
        <v>681</v>
      </c>
      <c r="C1274" s="319" t="s">
        <v>1197</v>
      </c>
      <c r="D1274" s="319" t="s">
        <v>1173</v>
      </c>
      <c r="E1274" s="320">
        <v>54957</v>
      </c>
      <c r="F1274" s="320">
        <v>54957</v>
      </c>
    </row>
    <row r="1275" spans="1:6" ht="25.5">
      <c r="A1275" s="318" t="s">
        <v>239</v>
      </c>
      <c r="B1275" s="319" t="s">
        <v>681</v>
      </c>
      <c r="C1275" s="319" t="s">
        <v>1197</v>
      </c>
      <c r="D1275" s="319" t="s">
        <v>1141</v>
      </c>
      <c r="E1275" s="320">
        <v>54957</v>
      </c>
      <c r="F1275" s="320">
        <v>54957</v>
      </c>
    </row>
    <row r="1276" spans="1:6">
      <c r="A1276" s="318" t="s">
        <v>146</v>
      </c>
      <c r="B1276" s="319" t="s">
        <v>681</v>
      </c>
      <c r="C1276" s="319" t="s">
        <v>1197</v>
      </c>
      <c r="D1276" s="319" t="s">
        <v>364</v>
      </c>
      <c r="E1276" s="320">
        <v>54957</v>
      </c>
      <c r="F1276" s="320">
        <v>54957</v>
      </c>
    </row>
    <row r="1277" spans="1:6">
      <c r="A1277" s="399" t="s">
        <v>1749</v>
      </c>
      <c r="B1277" s="222"/>
      <c r="C1277" s="5"/>
      <c r="D1277" s="5"/>
      <c r="E1277" s="165">
        <v>30000000</v>
      </c>
      <c r="F1277" s="166">
        <v>63000000</v>
      </c>
    </row>
  </sheetData>
  <autoFilter ref="A6:F1150">
    <filterColumn colId="2"/>
  </autoFilter>
  <mergeCells count="7">
    <mergeCell ref="A1:F1"/>
    <mergeCell ref="A2:F2"/>
    <mergeCell ref="A3:F3"/>
    <mergeCell ref="A5:A6"/>
    <mergeCell ref="B5:D5"/>
    <mergeCell ref="E5:E6"/>
    <mergeCell ref="F5:F6"/>
  </mergeCells>
  <pageMargins left="0.70866141732283472" right="0.24" top="0.55118110236220474" bottom="0.32"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sheetPr codeName="Лист9">
    <tabColor rgb="FF92D050"/>
  </sheetPr>
  <dimension ref="A1:H62"/>
  <sheetViews>
    <sheetView workbookViewId="0">
      <selection activeCell="A45" sqref="A45"/>
    </sheetView>
  </sheetViews>
  <sheetFormatPr defaultRowHeight="12.75"/>
  <cols>
    <col min="1" max="1" width="47.85546875" style="3" customWidth="1"/>
    <col min="2" max="2" width="15.5703125" style="3" customWidth="1"/>
    <col min="3" max="3" width="18.28515625" style="3" customWidth="1"/>
    <col min="4" max="4" width="14.85546875" style="3" customWidth="1"/>
    <col min="5" max="5" width="16.28515625" style="3" customWidth="1"/>
    <col min="6" max="6" width="16.5703125" style="3" customWidth="1"/>
    <col min="7" max="7" width="17.42578125" style="3" customWidth="1"/>
    <col min="8" max="16384" width="9.140625" style="3"/>
  </cols>
  <sheetData>
    <row r="1" spans="1:8" ht="40.5" customHeight="1">
      <c r="A1" s="485" t="str">
        <f>"Приложение "&amp;Н1ффп&amp;" к решению
Богучанского районного Совета депутатов
от "&amp;Р1дата&amp;" года №"&amp;Р1номер</f>
        <v>Приложение 6 к решению
Богучанского районного Совета депутатов
от  года №</v>
      </c>
      <c r="B1" s="485"/>
      <c r="C1" s="485"/>
      <c r="D1" s="485"/>
    </row>
    <row r="2" spans="1:8" ht="55.5" customHeight="1">
      <c r="A2" s="512" t="str">
        <f>"Дотации на  выравнивание  бюджетной обеспеченности  поселений за  "&amp;год&amp;" год "</f>
        <v xml:space="preserve">Дотации на  выравнивание  бюджетной обеспеченности  поселений за  2022 год </v>
      </c>
      <c r="B2" s="512"/>
      <c r="C2" s="512"/>
      <c r="D2" s="512"/>
    </row>
    <row r="3" spans="1:8">
      <c r="D3" s="8" t="s">
        <v>69</v>
      </c>
    </row>
    <row r="4" spans="1:8">
      <c r="A4" s="525" t="s">
        <v>21</v>
      </c>
      <c r="B4" s="527" t="s">
        <v>70</v>
      </c>
      <c r="C4" s="521" t="s">
        <v>1080</v>
      </c>
      <c r="D4" s="522"/>
    </row>
    <row r="5" spans="1:8" ht="162" customHeight="1">
      <c r="A5" s="526"/>
      <c r="B5" s="528"/>
      <c r="C5" s="238" t="s">
        <v>1776</v>
      </c>
      <c r="D5" s="32" t="s">
        <v>1081</v>
      </c>
      <c r="F5" s="3">
        <v>1110076010</v>
      </c>
      <c r="G5" s="3">
        <v>1110080130</v>
      </c>
    </row>
    <row r="6" spans="1:8" ht="15">
      <c r="A6" s="97" t="s">
        <v>2290</v>
      </c>
      <c r="B6" s="218">
        <f>SUM(B7:B24)</f>
        <v>97389400</v>
      </c>
      <c r="C6" s="218">
        <f>SUM(C7:C24)</f>
        <v>47081000</v>
      </c>
      <c r="D6" s="218">
        <f>SUM(D7:D24)</f>
        <v>50308400</v>
      </c>
      <c r="E6" s="98" t="s">
        <v>259</v>
      </c>
      <c r="F6" s="99">
        <f ca="1">SUMIF(РзПз,"????"&amp;F$5,СумВед)-C6</f>
        <v>0</v>
      </c>
      <c r="G6" s="99">
        <f ca="1">SUMIF(РзПз,"????"&amp;G$5,СумВед)-D6</f>
        <v>0</v>
      </c>
      <c r="H6" s="3">
        <v>2016</v>
      </c>
    </row>
    <row r="7" spans="1:8" ht="14.25">
      <c r="A7" s="226" t="s">
        <v>624</v>
      </c>
      <c r="B7" s="227">
        <f t="shared" ref="B7:B24" si="0">C7+D7</f>
        <v>2399700</v>
      </c>
      <c r="C7" s="221">
        <v>1520800</v>
      </c>
      <c r="D7" s="221">
        <v>878900</v>
      </c>
      <c r="F7" s="99">
        <f ca="1">SUMIF(РзПзПлПер,"????"&amp;F$5,СумВед14)-C25</f>
        <v>-9416200</v>
      </c>
      <c r="G7" s="99">
        <f ca="1">SUMIF(РзПзПлПер,"????"&amp;G$5,СумВед14)-D25</f>
        <v>-25148400</v>
      </c>
      <c r="H7" s="3">
        <v>2017</v>
      </c>
    </row>
    <row r="8" spans="1:8" ht="14.25">
      <c r="A8" s="226" t="s">
        <v>79</v>
      </c>
      <c r="B8" s="227">
        <f t="shared" si="0"/>
        <v>4147300</v>
      </c>
      <c r="C8" s="221">
        <v>676800</v>
      </c>
      <c r="D8" s="221">
        <v>3470500</v>
      </c>
      <c r="F8" s="99">
        <f ca="1">SUMIF(РзПзПлПер,"????"&amp;F$5,СумВед15)-C44</f>
        <v>37664700</v>
      </c>
      <c r="G8" s="99">
        <f ca="1">SUMIF(РзПзПлПер,"????"&amp;G$5,СумВед15)-D44</f>
        <v>25159900</v>
      </c>
      <c r="H8" s="3">
        <v>2018</v>
      </c>
    </row>
    <row r="9" spans="1:8" ht="14.25">
      <c r="A9" s="228" t="s">
        <v>164</v>
      </c>
      <c r="B9" s="227">
        <f t="shared" si="0"/>
        <v>6320800</v>
      </c>
      <c r="C9" s="221">
        <v>212900</v>
      </c>
      <c r="D9" s="221">
        <v>6107900</v>
      </c>
    </row>
    <row r="10" spans="1:8" ht="14.25">
      <c r="A10" s="223" t="s">
        <v>58</v>
      </c>
      <c r="B10" s="224">
        <f t="shared" si="0"/>
        <v>7285800</v>
      </c>
      <c r="C10" s="225">
        <v>7285800</v>
      </c>
      <c r="D10" s="225"/>
      <c r="F10" s="37"/>
      <c r="G10" s="37"/>
    </row>
    <row r="11" spans="1:8" ht="14.25">
      <c r="A11" s="10" t="s">
        <v>59</v>
      </c>
      <c r="B11" s="219">
        <f t="shared" si="0"/>
        <v>3057700</v>
      </c>
      <c r="C11" s="220">
        <v>773900</v>
      </c>
      <c r="D11" s="220">
        <v>2283800</v>
      </c>
    </row>
    <row r="12" spans="1:8" ht="14.25" customHeight="1">
      <c r="A12" s="12" t="s">
        <v>231</v>
      </c>
      <c r="B12" s="219">
        <f t="shared" si="0"/>
        <v>9128200</v>
      </c>
      <c r="C12" s="220">
        <v>4858700</v>
      </c>
      <c r="D12" s="220">
        <v>4269500</v>
      </c>
    </row>
    <row r="13" spans="1:8" ht="14.25">
      <c r="A13" s="10" t="s">
        <v>80</v>
      </c>
      <c r="B13" s="219">
        <f t="shared" si="0"/>
        <v>4135100</v>
      </c>
      <c r="C13" s="220">
        <v>1393400</v>
      </c>
      <c r="D13" s="220">
        <v>2741700</v>
      </c>
    </row>
    <row r="14" spans="1:8" ht="14.25">
      <c r="A14" s="10" t="s">
        <v>135</v>
      </c>
      <c r="B14" s="219">
        <f t="shared" si="0"/>
        <v>4916100</v>
      </c>
      <c r="C14" s="220">
        <v>1954800</v>
      </c>
      <c r="D14" s="220">
        <v>2961300</v>
      </c>
    </row>
    <row r="15" spans="1:8" ht="14.25">
      <c r="A15" s="10" t="s">
        <v>136</v>
      </c>
      <c r="B15" s="219">
        <f t="shared" si="0"/>
        <v>5379400</v>
      </c>
      <c r="C15" s="220">
        <v>291200</v>
      </c>
      <c r="D15" s="220">
        <v>5088200</v>
      </c>
    </row>
    <row r="16" spans="1:8" ht="14.25">
      <c r="A16" s="10" t="s">
        <v>81</v>
      </c>
      <c r="B16" s="219">
        <f t="shared" si="0"/>
        <v>3533900</v>
      </c>
      <c r="C16" s="220">
        <v>1705600</v>
      </c>
      <c r="D16" s="220">
        <v>1828300</v>
      </c>
    </row>
    <row r="17" spans="1:7" ht="14.25">
      <c r="A17" s="10" t="s">
        <v>83</v>
      </c>
      <c r="B17" s="219">
        <f t="shared" si="0"/>
        <v>8837800</v>
      </c>
      <c r="C17" s="220">
        <v>7510500</v>
      </c>
      <c r="D17" s="220">
        <v>1327300</v>
      </c>
    </row>
    <row r="18" spans="1:7" ht="13.5" customHeight="1">
      <c r="A18" s="10" t="s">
        <v>165</v>
      </c>
      <c r="B18" s="219">
        <f t="shared" si="0"/>
        <v>8802800</v>
      </c>
      <c r="C18" s="220">
        <v>2182400</v>
      </c>
      <c r="D18" s="220">
        <v>6620400</v>
      </c>
    </row>
    <row r="19" spans="1:7" ht="14.25">
      <c r="A19" s="10" t="s">
        <v>82</v>
      </c>
      <c r="B19" s="219">
        <f t="shared" si="0"/>
        <v>4451700</v>
      </c>
      <c r="C19" s="220">
        <v>3767100</v>
      </c>
      <c r="D19" s="220">
        <v>684600</v>
      </c>
    </row>
    <row r="20" spans="1:7" ht="14.25">
      <c r="A20" s="10" t="s">
        <v>84</v>
      </c>
      <c r="B20" s="219">
        <f t="shared" si="0"/>
        <v>5780700</v>
      </c>
      <c r="C20" s="220">
        <v>5780700</v>
      </c>
      <c r="D20" s="220"/>
    </row>
    <row r="21" spans="1:7" ht="14.25">
      <c r="A21" s="10" t="s">
        <v>85</v>
      </c>
      <c r="B21" s="219">
        <f t="shared" si="0"/>
        <v>6322700</v>
      </c>
      <c r="C21" s="220">
        <v>281200</v>
      </c>
      <c r="D21" s="220">
        <v>6041500</v>
      </c>
    </row>
    <row r="22" spans="1:7" ht="14.25">
      <c r="A22" s="10" t="s">
        <v>138</v>
      </c>
      <c r="B22" s="219">
        <f t="shared" si="0"/>
        <v>3763200</v>
      </c>
      <c r="C22" s="220">
        <v>1748400</v>
      </c>
      <c r="D22" s="220">
        <v>2014800</v>
      </c>
    </row>
    <row r="23" spans="1:7" ht="14.25">
      <c r="A23" s="10" t="s">
        <v>139</v>
      </c>
      <c r="B23" s="219">
        <f t="shared" si="0"/>
        <v>5947100</v>
      </c>
      <c r="C23" s="220">
        <v>4287500</v>
      </c>
      <c r="D23" s="220">
        <v>1659600</v>
      </c>
    </row>
    <row r="24" spans="1:7" ht="14.25">
      <c r="A24" s="10" t="s">
        <v>86</v>
      </c>
      <c r="B24" s="219">
        <f t="shared" si="0"/>
        <v>3179400</v>
      </c>
      <c r="C24" s="220">
        <v>849300</v>
      </c>
      <c r="D24" s="220">
        <v>2330100</v>
      </c>
    </row>
    <row r="25" spans="1:7" ht="15">
      <c r="A25" s="97" t="s">
        <v>2291</v>
      </c>
      <c r="B25" s="218">
        <f>SUM(B26:B43)</f>
        <v>97389400</v>
      </c>
      <c r="C25" s="246">
        <f>SUM(C26:C43)</f>
        <v>47081000</v>
      </c>
      <c r="D25" s="246">
        <f>SUM(D26:D43)</f>
        <v>50308400</v>
      </c>
      <c r="G25" s="252"/>
    </row>
    <row r="26" spans="1:7" ht="14.25">
      <c r="A26" s="10" t="s">
        <v>57</v>
      </c>
      <c r="B26" s="219">
        <f t="shared" ref="B26:B43" si="1">C26+D26</f>
        <v>2399700</v>
      </c>
      <c r="C26" s="221">
        <v>1520800</v>
      </c>
      <c r="D26" s="221">
        <v>878900</v>
      </c>
    </row>
    <row r="27" spans="1:7" ht="14.25">
      <c r="A27" s="43" t="s">
        <v>79</v>
      </c>
      <c r="B27" s="219">
        <f t="shared" si="1"/>
        <v>4147300</v>
      </c>
      <c r="C27" s="221">
        <v>676800</v>
      </c>
      <c r="D27" s="221">
        <v>3470500</v>
      </c>
    </row>
    <row r="28" spans="1:7" ht="14.25">
      <c r="A28" s="10" t="s">
        <v>164</v>
      </c>
      <c r="B28" s="219">
        <f t="shared" si="1"/>
        <v>6320800</v>
      </c>
      <c r="C28" s="221">
        <v>212900</v>
      </c>
      <c r="D28" s="221">
        <v>6107900</v>
      </c>
    </row>
    <row r="29" spans="1:7" ht="14.25">
      <c r="A29" s="10" t="s">
        <v>58</v>
      </c>
      <c r="B29" s="219">
        <f t="shared" si="1"/>
        <v>7285800</v>
      </c>
      <c r="C29" s="225">
        <v>7285800</v>
      </c>
      <c r="D29" s="225"/>
    </row>
    <row r="30" spans="1:7" ht="14.25">
      <c r="A30" s="10" t="s">
        <v>59</v>
      </c>
      <c r="B30" s="219">
        <f t="shared" si="1"/>
        <v>3057700</v>
      </c>
      <c r="C30" s="220">
        <v>773900</v>
      </c>
      <c r="D30" s="220">
        <v>2283800</v>
      </c>
    </row>
    <row r="31" spans="1:7" ht="14.25" customHeight="1">
      <c r="A31" s="12" t="s">
        <v>231</v>
      </c>
      <c r="B31" s="219">
        <f t="shared" si="1"/>
        <v>9128200</v>
      </c>
      <c r="C31" s="220">
        <v>4858700</v>
      </c>
      <c r="D31" s="220">
        <v>4269500</v>
      </c>
    </row>
    <row r="32" spans="1:7" ht="14.25">
      <c r="A32" s="10" t="s">
        <v>80</v>
      </c>
      <c r="B32" s="219">
        <f t="shared" si="1"/>
        <v>4135100</v>
      </c>
      <c r="C32" s="220">
        <v>1393400</v>
      </c>
      <c r="D32" s="220">
        <v>2741700</v>
      </c>
    </row>
    <row r="33" spans="1:7" ht="14.25">
      <c r="A33" s="10" t="s">
        <v>135</v>
      </c>
      <c r="B33" s="219">
        <f t="shared" si="1"/>
        <v>4916100</v>
      </c>
      <c r="C33" s="220">
        <v>1954800</v>
      </c>
      <c r="D33" s="220">
        <v>2961300</v>
      </c>
    </row>
    <row r="34" spans="1:7" ht="14.25">
      <c r="A34" s="10" t="s">
        <v>136</v>
      </c>
      <c r="B34" s="219">
        <f t="shared" si="1"/>
        <v>5379400</v>
      </c>
      <c r="C34" s="220">
        <v>291200</v>
      </c>
      <c r="D34" s="220">
        <v>5088200</v>
      </c>
    </row>
    <row r="35" spans="1:7" ht="14.25">
      <c r="A35" s="10" t="s">
        <v>81</v>
      </c>
      <c r="B35" s="219">
        <f t="shared" si="1"/>
        <v>3533900</v>
      </c>
      <c r="C35" s="220">
        <v>1705600</v>
      </c>
      <c r="D35" s="220">
        <v>1828300</v>
      </c>
    </row>
    <row r="36" spans="1:7" ht="14.25">
      <c r="A36" s="10" t="s">
        <v>83</v>
      </c>
      <c r="B36" s="219">
        <f t="shared" si="1"/>
        <v>8837800</v>
      </c>
      <c r="C36" s="220">
        <v>7510500</v>
      </c>
      <c r="D36" s="220">
        <v>1327300</v>
      </c>
    </row>
    <row r="37" spans="1:7" ht="13.5" customHeight="1">
      <c r="A37" s="10" t="s">
        <v>165</v>
      </c>
      <c r="B37" s="219">
        <f t="shared" si="1"/>
        <v>8802800</v>
      </c>
      <c r="C37" s="220">
        <v>2182400</v>
      </c>
      <c r="D37" s="220">
        <v>6620400</v>
      </c>
      <c r="G37" s="252"/>
    </row>
    <row r="38" spans="1:7" ht="14.25">
      <c r="A38" s="10" t="s">
        <v>82</v>
      </c>
      <c r="B38" s="219">
        <f t="shared" si="1"/>
        <v>4451700</v>
      </c>
      <c r="C38" s="220">
        <v>3767100</v>
      </c>
      <c r="D38" s="220">
        <v>684600</v>
      </c>
    </row>
    <row r="39" spans="1:7" ht="14.25">
      <c r="A39" s="10" t="s">
        <v>84</v>
      </c>
      <c r="B39" s="219">
        <f t="shared" si="1"/>
        <v>5780700</v>
      </c>
      <c r="C39" s="220">
        <v>5780700</v>
      </c>
      <c r="D39" s="220"/>
    </row>
    <row r="40" spans="1:7" ht="14.25">
      <c r="A40" s="10" t="s">
        <v>85</v>
      </c>
      <c r="B40" s="219">
        <f t="shared" si="1"/>
        <v>6322700</v>
      </c>
      <c r="C40" s="220">
        <v>281200</v>
      </c>
      <c r="D40" s="220">
        <v>6041500</v>
      </c>
    </row>
    <row r="41" spans="1:7" ht="14.25">
      <c r="A41" s="10" t="s">
        <v>138</v>
      </c>
      <c r="B41" s="219">
        <f t="shared" si="1"/>
        <v>3763200</v>
      </c>
      <c r="C41" s="220">
        <v>1748400</v>
      </c>
      <c r="D41" s="220">
        <v>2014800</v>
      </c>
    </row>
    <row r="42" spans="1:7" ht="14.25">
      <c r="A42" s="10" t="s">
        <v>139</v>
      </c>
      <c r="B42" s="219">
        <f t="shared" si="1"/>
        <v>5947100</v>
      </c>
      <c r="C42" s="220">
        <v>4287500</v>
      </c>
      <c r="D42" s="220">
        <v>1659600</v>
      </c>
    </row>
    <row r="43" spans="1:7" ht="14.25">
      <c r="A43" s="10" t="s">
        <v>86</v>
      </c>
      <c r="B43" s="219">
        <f t="shared" si="1"/>
        <v>3179400</v>
      </c>
      <c r="C43" s="220">
        <v>849300</v>
      </c>
      <c r="D43" s="220">
        <v>2330100</v>
      </c>
    </row>
    <row r="44" spans="1:7" ht="15">
      <c r="A44" s="97" t="s">
        <v>2303</v>
      </c>
      <c r="B44" s="246">
        <f>B25/B6*100</f>
        <v>100</v>
      </c>
      <c r="C44" s="246">
        <f>C25/C6*100</f>
        <v>100</v>
      </c>
      <c r="D44" s="246">
        <f>D25/D6*100</f>
        <v>100</v>
      </c>
    </row>
    <row r="45" spans="1:7" ht="14.25">
      <c r="A45" s="10" t="s">
        <v>57</v>
      </c>
      <c r="B45" s="466">
        <f t="shared" ref="B45:D45" si="2">B26/B7*100</f>
        <v>100</v>
      </c>
      <c r="C45" s="466">
        <f t="shared" si="2"/>
        <v>100</v>
      </c>
      <c r="D45" s="466">
        <f t="shared" si="2"/>
        <v>100</v>
      </c>
    </row>
    <row r="46" spans="1:7" ht="14.25">
      <c r="A46" s="43" t="s">
        <v>79</v>
      </c>
      <c r="B46" s="466">
        <f t="shared" ref="B46:D46" si="3">B27/B8*100</f>
        <v>100</v>
      </c>
      <c r="C46" s="466">
        <f t="shared" si="3"/>
        <v>100</v>
      </c>
      <c r="D46" s="466">
        <f t="shared" si="3"/>
        <v>100</v>
      </c>
    </row>
    <row r="47" spans="1:7" ht="14.25">
      <c r="A47" s="10" t="s">
        <v>164</v>
      </c>
      <c r="B47" s="466">
        <f t="shared" ref="B47:D47" si="4">B28/B9*100</f>
        <v>100</v>
      </c>
      <c r="C47" s="466">
        <f t="shared" si="4"/>
        <v>100</v>
      </c>
      <c r="D47" s="466">
        <f t="shared" si="4"/>
        <v>100</v>
      </c>
    </row>
    <row r="48" spans="1:7" ht="14.25">
      <c r="A48" s="10" t="s">
        <v>58</v>
      </c>
      <c r="B48" s="466">
        <f t="shared" ref="B48:C48" si="5">B29/B10*100</f>
        <v>100</v>
      </c>
      <c r="C48" s="466">
        <f t="shared" si="5"/>
        <v>100</v>
      </c>
      <c r="D48" s="466"/>
    </row>
    <row r="49" spans="1:4" ht="14.25">
      <c r="A49" s="10" t="s">
        <v>59</v>
      </c>
      <c r="B49" s="466">
        <f t="shared" ref="B49:D49" si="6">B30/B11*100</f>
        <v>100</v>
      </c>
      <c r="C49" s="466">
        <f t="shared" si="6"/>
        <v>100</v>
      </c>
      <c r="D49" s="466">
        <f t="shared" si="6"/>
        <v>100</v>
      </c>
    </row>
    <row r="50" spans="1:4" ht="13.5" customHeight="1">
      <c r="A50" s="12" t="s">
        <v>231</v>
      </c>
      <c r="B50" s="466">
        <f t="shared" ref="B50:D50" si="7">B31/B12*100</f>
        <v>100</v>
      </c>
      <c r="C50" s="466">
        <f t="shared" si="7"/>
        <v>100</v>
      </c>
      <c r="D50" s="466">
        <f t="shared" si="7"/>
        <v>100</v>
      </c>
    </row>
    <row r="51" spans="1:4" ht="14.25">
      <c r="A51" s="10" t="s">
        <v>80</v>
      </c>
      <c r="B51" s="466">
        <f t="shared" ref="B51:D51" si="8">B32/B13*100</f>
        <v>100</v>
      </c>
      <c r="C51" s="466">
        <f t="shared" si="8"/>
        <v>100</v>
      </c>
      <c r="D51" s="466">
        <f t="shared" si="8"/>
        <v>100</v>
      </c>
    </row>
    <row r="52" spans="1:4" ht="14.25">
      <c r="A52" s="10" t="s">
        <v>135</v>
      </c>
      <c r="B52" s="466">
        <f t="shared" ref="B52:D52" si="9">B33/B14*100</f>
        <v>100</v>
      </c>
      <c r="C52" s="466">
        <f t="shared" si="9"/>
        <v>100</v>
      </c>
      <c r="D52" s="466">
        <f t="shared" si="9"/>
        <v>100</v>
      </c>
    </row>
    <row r="53" spans="1:4" ht="14.25">
      <c r="A53" s="10" t="s">
        <v>136</v>
      </c>
      <c r="B53" s="466">
        <f t="shared" ref="B53:D53" si="10">B34/B15*100</f>
        <v>100</v>
      </c>
      <c r="C53" s="466">
        <f t="shared" si="10"/>
        <v>100</v>
      </c>
      <c r="D53" s="466">
        <f t="shared" si="10"/>
        <v>100</v>
      </c>
    </row>
    <row r="54" spans="1:4" ht="14.25">
      <c r="A54" s="10" t="s">
        <v>81</v>
      </c>
      <c r="B54" s="466">
        <f t="shared" ref="B54:D54" si="11">B35/B16*100</f>
        <v>100</v>
      </c>
      <c r="C54" s="466">
        <f t="shared" si="11"/>
        <v>100</v>
      </c>
      <c r="D54" s="466">
        <f t="shared" si="11"/>
        <v>100</v>
      </c>
    </row>
    <row r="55" spans="1:4" ht="14.25">
      <c r="A55" s="10" t="s">
        <v>83</v>
      </c>
      <c r="B55" s="466">
        <f t="shared" ref="B55:D55" si="12">B36/B17*100</f>
        <v>100</v>
      </c>
      <c r="C55" s="466">
        <f t="shared" si="12"/>
        <v>100</v>
      </c>
      <c r="D55" s="466">
        <f t="shared" si="12"/>
        <v>100</v>
      </c>
    </row>
    <row r="56" spans="1:4" ht="15" customHeight="1">
      <c r="A56" s="10" t="s">
        <v>165</v>
      </c>
      <c r="B56" s="466">
        <f t="shared" ref="B56:D56" si="13">B37/B18*100</f>
        <v>100</v>
      </c>
      <c r="C56" s="466">
        <f t="shared" si="13"/>
        <v>100</v>
      </c>
      <c r="D56" s="466">
        <f t="shared" si="13"/>
        <v>100</v>
      </c>
    </row>
    <row r="57" spans="1:4" ht="14.25">
      <c r="A57" s="10" t="s">
        <v>82</v>
      </c>
      <c r="B57" s="466">
        <f t="shared" ref="B57:D57" si="14">B38/B19*100</f>
        <v>100</v>
      </c>
      <c r="C57" s="466">
        <f t="shared" si="14"/>
        <v>100</v>
      </c>
      <c r="D57" s="466">
        <f t="shared" si="14"/>
        <v>100</v>
      </c>
    </row>
    <row r="58" spans="1:4" ht="14.25">
      <c r="A58" s="10" t="s">
        <v>84</v>
      </c>
      <c r="B58" s="466">
        <f t="shared" ref="B58:C58" si="15">B39/B20*100</f>
        <v>100</v>
      </c>
      <c r="C58" s="466">
        <f t="shared" si="15"/>
        <v>100</v>
      </c>
      <c r="D58" s="466"/>
    </row>
    <row r="59" spans="1:4" ht="14.25">
      <c r="A59" s="10" t="s">
        <v>85</v>
      </c>
      <c r="B59" s="466">
        <f t="shared" ref="B59:D59" si="16">B40/B21*100</f>
        <v>100</v>
      </c>
      <c r="C59" s="466">
        <f t="shared" si="16"/>
        <v>100</v>
      </c>
      <c r="D59" s="466">
        <f t="shared" si="16"/>
        <v>100</v>
      </c>
    </row>
    <row r="60" spans="1:4" ht="14.25">
      <c r="A60" s="10" t="s">
        <v>138</v>
      </c>
      <c r="B60" s="466">
        <f t="shared" ref="B60:D60" si="17">B41/B22*100</f>
        <v>100</v>
      </c>
      <c r="C60" s="466">
        <f t="shared" si="17"/>
        <v>100</v>
      </c>
      <c r="D60" s="466">
        <f t="shared" si="17"/>
        <v>100</v>
      </c>
    </row>
    <row r="61" spans="1:4" ht="14.25">
      <c r="A61" s="10" t="s">
        <v>139</v>
      </c>
      <c r="B61" s="466">
        <f t="shared" ref="B61:D61" si="18">B42/B23*100</f>
        <v>100</v>
      </c>
      <c r="C61" s="466">
        <f t="shared" si="18"/>
        <v>100</v>
      </c>
      <c r="D61" s="466">
        <f t="shared" si="18"/>
        <v>100</v>
      </c>
    </row>
    <row r="62" spans="1:4" ht="14.25">
      <c r="A62" s="10" t="s">
        <v>86</v>
      </c>
      <c r="B62" s="466">
        <f t="shared" ref="B62:D62" si="19">B43/B24*100</f>
        <v>100</v>
      </c>
      <c r="C62" s="466">
        <f t="shared" si="19"/>
        <v>100</v>
      </c>
      <c r="D62" s="466">
        <f t="shared" si="19"/>
        <v>100</v>
      </c>
    </row>
  </sheetData>
  <mergeCells count="5">
    <mergeCell ref="A2:D2"/>
    <mergeCell ref="A1:D1"/>
    <mergeCell ref="A4:A5"/>
    <mergeCell ref="B4:B5"/>
    <mergeCell ref="C4:D4"/>
  </mergeCells>
  <phoneticPr fontId="3" type="noConversion"/>
  <pageMargins left="0.59055118110236227" right="0.23622047244094491" top="0.59055118110236227" bottom="0.59055118110236227" header="0.31496062992125984" footer="0.31496062992125984"/>
  <pageSetup paperSize="9" fitToHeight="0" orientation="portrait" r:id="rId1"/>
  <headerFooter alignWithMargins="0"/>
</worksheet>
</file>

<file path=xl/worksheets/sheet13.xml><?xml version="1.0" encoding="utf-8"?>
<worksheet xmlns="http://schemas.openxmlformats.org/spreadsheetml/2006/main" xmlns:r="http://schemas.openxmlformats.org/officeDocument/2006/relationships">
  <sheetPr codeName="Лист12">
    <tabColor rgb="FF92D050"/>
  </sheetPr>
  <dimension ref="A1:G23"/>
  <sheetViews>
    <sheetView workbookViewId="0">
      <selection activeCell="C4" sqref="C4:E4"/>
    </sheetView>
  </sheetViews>
  <sheetFormatPr defaultRowHeight="54.75" customHeight="1"/>
  <cols>
    <col min="1" max="1" width="51.140625" style="3" customWidth="1"/>
    <col min="2" max="2" width="8.42578125" style="3" hidden="1" customWidth="1"/>
    <col min="3" max="3" width="13" style="3" customWidth="1"/>
    <col min="4" max="5" width="11.85546875" style="3" customWidth="1"/>
    <col min="6" max="6" width="15" style="19" customWidth="1"/>
    <col min="7" max="16384" width="9.140625" style="3"/>
  </cols>
  <sheetData>
    <row r="1" spans="1:7" ht="54.75" customHeight="1">
      <c r="A1" s="485" t="str">
        <f>"Приложение "&amp;Н1ком&amp;" к решению
Богучанского районного Совета депутатов
от "&amp;Р1дата&amp;" года №"&amp;Р1номер</f>
        <v>Приложение 7 к решению
Богучанского районного Совета депутатов
от  года №</v>
      </c>
      <c r="B1" s="485"/>
      <c r="C1" s="485"/>
      <c r="D1" s="485"/>
      <c r="E1" s="485"/>
    </row>
    <row r="2" spans="1:7" ht="82.5" customHeight="1">
      <c r="A2" s="484" t="s">
        <v>2292</v>
      </c>
      <c r="B2" s="484"/>
      <c r="C2" s="484"/>
      <c r="D2" s="484"/>
      <c r="E2" s="484"/>
    </row>
    <row r="3" spans="1:7" ht="54.75" customHeight="1">
      <c r="D3" s="8"/>
      <c r="E3" s="8" t="s">
        <v>69</v>
      </c>
    </row>
    <row r="4" spans="1:7" ht="57">
      <c r="A4" s="32" t="s">
        <v>21</v>
      </c>
      <c r="B4" s="102" t="s">
        <v>38</v>
      </c>
      <c r="C4" s="22" t="s">
        <v>2264</v>
      </c>
      <c r="D4" s="22" t="s">
        <v>2286</v>
      </c>
      <c r="E4" s="22" t="s">
        <v>2263</v>
      </c>
      <c r="F4" s="33">
        <v>1110075140</v>
      </c>
      <c r="G4" s="3" t="s">
        <v>259</v>
      </c>
    </row>
    <row r="5" spans="1:7" ht="15">
      <c r="A5" s="529" t="s">
        <v>70</v>
      </c>
      <c r="B5" s="530"/>
      <c r="C5" s="218">
        <f>SUM(C6:C23)</f>
        <v>311600</v>
      </c>
      <c r="D5" s="218">
        <f>SUM(D6:D23)</f>
        <v>311600</v>
      </c>
      <c r="E5" s="467">
        <f>D5/C5*100</f>
        <v>100</v>
      </c>
      <c r="F5" s="99">
        <f ca="1">SUMIF(РзПз,"????"&amp;F$4,СумВед)-C5</f>
        <v>0</v>
      </c>
      <c r="G5" s="3">
        <v>2013</v>
      </c>
    </row>
    <row r="6" spans="1:7" ht="14.25">
      <c r="A6" s="36" t="s">
        <v>624</v>
      </c>
      <c r="B6" s="103" t="s">
        <v>39</v>
      </c>
      <c r="C6" s="221">
        <f>13400+413</f>
        <v>13813</v>
      </c>
      <c r="D6" s="221">
        <f>13400+413</f>
        <v>13813</v>
      </c>
      <c r="E6" s="221">
        <f>D6/C6*100</f>
        <v>100</v>
      </c>
      <c r="F6" s="99">
        <f ca="1">SUMIF(РзПзПлПер,"????"&amp;F$4,СумВед14)-D5</f>
        <v>-9100</v>
      </c>
      <c r="G6" s="3">
        <v>2014</v>
      </c>
    </row>
    <row r="7" spans="1:7" ht="14.25">
      <c r="A7" s="36" t="s">
        <v>79</v>
      </c>
      <c r="B7" s="103" t="s">
        <v>40</v>
      </c>
      <c r="C7" s="221">
        <v>3900</v>
      </c>
      <c r="D7" s="221">
        <v>3900</v>
      </c>
      <c r="E7" s="221">
        <f t="shared" ref="E7:E23" si="0">D7/C7*100</f>
        <v>100</v>
      </c>
      <c r="F7" s="99">
        <f ca="1">SUMIF(РзПзПлПер,"????"&amp;F$4,СумВед15)-E5</f>
        <v>302400</v>
      </c>
      <c r="G7" s="3">
        <v>2015</v>
      </c>
    </row>
    <row r="8" spans="1:7" ht="14.25">
      <c r="A8" s="36" t="s">
        <v>164</v>
      </c>
      <c r="B8" s="103" t="s">
        <v>41</v>
      </c>
      <c r="C8" s="221">
        <v>1500</v>
      </c>
      <c r="D8" s="221">
        <v>1500</v>
      </c>
      <c r="E8" s="221">
        <f t="shared" si="0"/>
        <v>100</v>
      </c>
    </row>
    <row r="9" spans="1:7" ht="14.25">
      <c r="A9" s="36" t="s">
        <v>58</v>
      </c>
      <c r="B9" s="103" t="s">
        <v>42</v>
      </c>
      <c r="C9" s="221">
        <f>77100+2384</f>
        <v>79484</v>
      </c>
      <c r="D9" s="221">
        <f>77100+2384</f>
        <v>79484</v>
      </c>
      <c r="E9" s="221">
        <f t="shared" si="0"/>
        <v>100</v>
      </c>
    </row>
    <row r="10" spans="1:7" ht="14.25">
      <c r="A10" s="36" t="s">
        <v>59</v>
      </c>
      <c r="B10" s="103" t="s">
        <v>43</v>
      </c>
      <c r="C10" s="221">
        <f>4200+131</f>
        <v>4331</v>
      </c>
      <c r="D10" s="221">
        <f>4200+131</f>
        <v>4331</v>
      </c>
      <c r="E10" s="221">
        <f t="shared" si="0"/>
        <v>100</v>
      </c>
    </row>
    <row r="11" spans="1:7" ht="14.25">
      <c r="A11" s="12" t="s">
        <v>231</v>
      </c>
      <c r="B11" s="103" t="s">
        <v>44</v>
      </c>
      <c r="C11" s="221">
        <f>20300+628</f>
        <v>20928</v>
      </c>
      <c r="D11" s="221">
        <f>20300+628</f>
        <v>20928</v>
      </c>
      <c r="E11" s="221">
        <f t="shared" si="0"/>
        <v>100</v>
      </c>
    </row>
    <row r="12" spans="1:7" ht="14.25">
      <c r="A12" s="36" t="s">
        <v>80</v>
      </c>
      <c r="B12" s="103" t="s">
        <v>45</v>
      </c>
      <c r="C12" s="221">
        <f>10800+335</f>
        <v>11135</v>
      </c>
      <c r="D12" s="221">
        <f>10800+335</f>
        <v>11135</v>
      </c>
      <c r="E12" s="221">
        <f t="shared" si="0"/>
        <v>100</v>
      </c>
    </row>
    <row r="13" spans="1:7" ht="14.25">
      <c r="A13" s="36" t="s">
        <v>135</v>
      </c>
      <c r="B13" s="103" t="s">
        <v>46</v>
      </c>
      <c r="C13" s="221">
        <f>9900+307</f>
        <v>10207</v>
      </c>
      <c r="D13" s="221">
        <f>9900+307</f>
        <v>10207</v>
      </c>
      <c r="E13" s="221">
        <f t="shared" si="0"/>
        <v>100</v>
      </c>
    </row>
    <row r="14" spans="1:7" ht="14.25">
      <c r="A14" s="36" t="s">
        <v>136</v>
      </c>
      <c r="B14" s="103" t="s">
        <v>47</v>
      </c>
      <c r="C14" s="221">
        <v>2800</v>
      </c>
      <c r="D14" s="221">
        <v>2800</v>
      </c>
      <c r="E14" s="221">
        <f t="shared" si="0"/>
        <v>100</v>
      </c>
    </row>
    <row r="15" spans="1:7" ht="14.25">
      <c r="A15" s="36" t="s">
        <v>81</v>
      </c>
      <c r="B15" s="103" t="s">
        <v>48</v>
      </c>
      <c r="C15" s="221">
        <f>7700+238</f>
        <v>7938</v>
      </c>
      <c r="D15" s="221">
        <f>7700+238</f>
        <v>7938</v>
      </c>
      <c r="E15" s="221">
        <f t="shared" si="0"/>
        <v>100</v>
      </c>
    </row>
    <row r="16" spans="1:7" ht="14.25">
      <c r="A16" s="36" t="s">
        <v>83</v>
      </c>
      <c r="B16" s="103" t="s">
        <v>49</v>
      </c>
      <c r="C16" s="221">
        <f>37700+1165</f>
        <v>38865</v>
      </c>
      <c r="D16" s="221">
        <f>37700+1165</f>
        <v>38865</v>
      </c>
      <c r="E16" s="221">
        <f t="shared" si="0"/>
        <v>100</v>
      </c>
    </row>
    <row r="17" spans="1:5" ht="14.25">
      <c r="A17" s="36" t="s">
        <v>165</v>
      </c>
      <c r="B17" s="103" t="s">
        <v>50</v>
      </c>
      <c r="C17" s="221">
        <f>9900+305</f>
        <v>10205</v>
      </c>
      <c r="D17" s="221">
        <f>9900+305</f>
        <v>10205</v>
      </c>
      <c r="E17" s="221">
        <f t="shared" si="0"/>
        <v>100</v>
      </c>
    </row>
    <row r="18" spans="1:5" ht="14.25">
      <c r="A18" s="24" t="s">
        <v>82</v>
      </c>
      <c r="B18" s="104" t="s">
        <v>51</v>
      </c>
      <c r="C18" s="221">
        <f>14500+449</f>
        <v>14949</v>
      </c>
      <c r="D18" s="221">
        <f>14500+449</f>
        <v>14949</v>
      </c>
      <c r="E18" s="221">
        <f t="shared" si="0"/>
        <v>100</v>
      </c>
    </row>
    <row r="19" spans="1:5" ht="14.25">
      <c r="A19" s="36" t="s">
        <v>84</v>
      </c>
      <c r="B19" s="103" t="s">
        <v>52</v>
      </c>
      <c r="C19" s="221">
        <f>50000+1547</f>
        <v>51547</v>
      </c>
      <c r="D19" s="221">
        <f>50000+1547</f>
        <v>51547</v>
      </c>
      <c r="E19" s="221">
        <f t="shared" si="0"/>
        <v>100</v>
      </c>
    </row>
    <row r="20" spans="1:5" ht="14.25">
      <c r="A20" s="36" t="s">
        <v>85</v>
      </c>
      <c r="B20" s="103" t="s">
        <v>53</v>
      </c>
      <c r="C20" s="221">
        <f>4200+128</f>
        <v>4328</v>
      </c>
      <c r="D20" s="221">
        <f>4200+128</f>
        <v>4328</v>
      </c>
      <c r="E20" s="221">
        <f t="shared" si="0"/>
        <v>100</v>
      </c>
    </row>
    <row r="21" spans="1:5" ht="14.25">
      <c r="A21" s="36" t="s">
        <v>138</v>
      </c>
      <c r="B21" s="103" t="s">
        <v>54</v>
      </c>
      <c r="C21" s="221">
        <f>9100+283</f>
        <v>9383</v>
      </c>
      <c r="D21" s="221">
        <f>9100+283</f>
        <v>9383</v>
      </c>
      <c r="E21" s="221">
        <f t="shared" si="0"/>
        <v>100</v>
      </c>
    </row>
    <row r="22" spans="1:5" ht="14.25">
      <c r="A22" s="36" t="s">
        <v>139</v>
      </c>
      <c r="B22" s="103" t="s">
        <v>55</v>
      </c>
      <c r="C22" s="221">
        <f>19300+597</f>
        <v>19897</v>
      </c>
      <c r="D22" s="221">
        <f>19300+597</f>
        <v>19897</v>
      </c>
      <c r="E22" s="221">
        <f t="shared" si="0"/>
        <v>100</v>
      </c>
    </row>
    <row r="23" spans="1:5" ht="14.25">
      <c r="A23" s="36" t="s">
        <v>86</v>
      </c>
      <c r="B23" s="103" t="s">
        <v>56</v>
      </c>
      <c r="C23" s="221">
        <f>6200+190</f>
        <v>6390</v>
      </c>
      <c r="D23" s="221">
        <f>6200+190</f>
        <v>6390</v>
      </c>
      <c r="E23" s="221">
        <f t="shared" si="0"/>
        <v>100</v>
      </c>
    </row>
  </sheetData>
  <mergeCells count="3">
    <mergeCell ref="A5:B5"/>
    <mergeCell ref="A2:E2"/>
    <mergeCell ref="A1:E1"/>
  </mergeCells>
  <phoneticPr fontId="3" type="noConversion"/>
  <pageMargins left="0.98425196850393704" right="0.43307086614173229" top="0.74803149606299213" bottom="0.74803149606299213" header="0.31496062992125984" footer="0.31496062992125984"/>
  <pageSetup paperSize="9" fitToHeight="0" orientation="portrait" r:id="rId1"/>
  <headerFooter alignWithMargins="0"/>
</worksheet>
</file>

<file path=xl/worksheets/sheet14.xml><?xml version="1.0" encoding="utf-8"?>
<worksheet xmlns="http://schemas.openxmlformats.org/spreadsheetml/2006/main" xmlns:r="http://schemas.openxmlformats.org/officeDocument/2006/relationships">
  <sheetPr codeName="Лист10">
    <tabColor rgb="FF92D050"/>
  </sheetPr>
  <dimension ref="A1:F22"/>
  <sheetViews>
    <sheetView workbookViewId="0">
      <selection activeCell="B4" sqref="B4:D4"/>
    </sheetView>
  </sheetViews>
  <sheetFormatPr defaultRowHeight="12.75"/>
  <cols>
    <col min="1" max="1" width="43.85546875" style="3" customWidth="1"/>
    <col min="2" max="2" width="16.42578125" style="3" customWidth="1"/>
    <col min="3" max="3" width="18.85546875" style="3" customWidth="1"/>
    <col min="4" max="4" width="16" style="3" customWidth="1"/>
    <col min="5" max="5" width="9.140625" style="3"/>
    <col min="6" max="6" width="16.140625" style="3" customWidth="1"/>
    <col min="7" max="16384" width="9.140625" style="3"/>
  </cols>
  <sheetData>
    <row r="1" spans="1:6" ht="48" customHeight="1">
      <c r="A1" s="485" t="str">
        <f>"Приложение "&amp;Н1вус&amp;" к решению
Богучанского районного Совета депутатов
от "&amp;Р1дата&amp;" года №"&amp;Р1номер</f>
        <v>Приложение 8 к решению
Богучанского районного Совета депутатов
от  года №</v>
      </c>
      <c r="B1" s="485"/>
      <c r="C1" s="485"/>
      <c r="D1" s="485"/>
    </row>
    <row r="2" spans="1:6" ht="117" customHeight="1">
      <c r="A2" s="507" t="s">
        <v>2293</v>
      </c>
      <c r="B2" s="507"/>
      <c r="C2" s="507"/>
      <c r="D2" s="507"/>
    </row>
    <row r="3" spans="1:6">
      <c r="B3" s="8"/>
      <c r="C3" s="8"/>
      <c r="D3" s="8" t="s">
        <v>69</v>
      </c>
    </row>
    <row r="4" spans="1:6" ht="28.5">
      <c r="A4" s="32" t="s">
        <v>21</v>
      </c>
      <c r="B4" s="22" t="s">
        <v>2264</v>
      </c>
      <c r="C4" s="22" t="s">
        <v>2286</v>
      </c>
      <c r="D4" s="22" t="s">
        <v>2263</v>
      </c>
    </row>
    <row r="5" spans="1:6" ht="15">
      <c r="A5" s="34" t="s">
        <v>70</v>
      </c>
      <c r="B5" s="218">
        <f>SUM(B6:B22)</f>
        <v>5647725.2999999998</v>
      </c>
      <c r="C5" s="218">
        <f>SUM(C6:C22)</f>
        <v>5611837.9299999997</v>
      </c>
      <c r="D5" s="468">
        <f>C5/B5*100</f>
        <v>99.364569484284232</v>
      </c>
      <c r="E5" s="98" t="s">
        <v>259</v>
      </c>
      <c r="F5" s="100">
        <f ca="1">SUMIF(РзПз,"02031110051180",СумВед)-B5</f>
        <v>0</v>
      </c>
    </row>
    <row r="6" spans="1:6" ht="14.25">
      <c r="A6" s="24" t="s">
        <v>624</v>
      </c>
      <c r="B6" s="220">
        <f>487555+28994.3</f>
        <v>516549.3</v>
      </c>
      <c r="C6" s="254">
        <v>516549.3</v>
      </c>
      <c r="D6" s="284">
        <f>C6/B6*100</f>
        <v>100</v>
      </c>
    </row>
    <row r="7" spans="1:6" ht="14.25">
      <c r="A7" s="24" t="s">
        <v>79</v>
      </c>
      <c r="B7" s="220">
        <f>110377+6761-24000</f>
        <v>93138</v>
      </c>
      <c r="C7" s="254">
        <v>93138</v>
      </c>
      <c r="D7" s="284">
        <f t="shared" ref="D7:D22" si="0">C7/B7*100</f>
        <v>100</v>
      </c>
    </row>
    <row r="8" spans="1:6" ht="14.25">
      <c r="A8" s="24" t="s">
        <v>164</v>
      </c>
      <c r="B8" s="220">
        <f>66222+4056</f>
        <v>70278</v>
      </c>
      <c r="C8" s="254">
        <v>70278</v>
      </c>
      <c r="D8" s="284">
        <f t="shared" si="0"/>
        <v>100</v>
      </c>
    </row>
    <row r="9" spans="1:6" ht="28.5">
      <c r="A9" s="24" t="s">
        <v>59</v>
      </c>
      <c r="B9" s="220">
        <f>110377+6761</f>
        <v>117138</v>
      </c>
      <c r="C9" s="254">
        <v>117138</v>
      </c>
      <c r="D9" s="284">
        <f t="shared" si="0"/>
        <v>100</v>
      </c>
    </row>
    <row r="10" spans="1:6" ht="33" customHeight="1">
      <c r="A10" s="24" t="s">
        <v>231</v>
      </c>
      <c r="B10" s="220">
        <f>487555+28994</f>
        <v>516549</v>
      </c>
      <c r="C10" s="254">
        <v>516549</v>
      </c>
      <c r="D10" s="284">
        <f t="shared" si="0"/>
        <v>100</v>
      </c>
    </row>
    <row r="11" spans="1:6" ht="14.25">
      <c r="A11" s="39" t="s">
        <v>80</v>
      </c>
      <c r="B11" s="220">
        <f>487555+28994-24000</f>
        <v>492549</v>
      </c>
      <c r="C11" s="254">
        <v>492549</v>
      </c>
      <c r="D11" s="284">
        <f t="shared" si="0"/>
        <v>100</v>
      </c>
    </row>
    <row r="12" spans="1:6" ht="14.25">
      <c r="A12" s="24" t="s">
        <v>135</v>
      </c>
      <c r="B12" s="220">
        <f>487555+28994-32490.59</f>
        <v>484058.41</v>
      </c>
      <c r="C12" s="254">
        <v>484058.41</v>
      </c>
      <c r="D12" s="284">
        <f t="shared" si="0"/>
        <v>100</v>
      </c>
    </row>
    <row r="13" spans="1:6" ht="30" customHeight="1">
      <c r="A13" s="24" t="s">
        <v>136</v>
      </c>
      <c r="B13" s="220">
        <f>110377+6761</f>
        <v>117138</v>
      </c>
      <c r="C13" s="254">
        <v>117138</v>
      </c>
      <c r="D13" s="284">
        <f t="shared" si="0"/>
        <v>100</v>
      </c>
    </row>
    <row r="14" spans="1:6" ht="14.25">
      <c r="A14" s="24" t="s">
        <v>81</v>
      </c>
      <c r="B14" s="220">
        <f>154531+9465+9156.59</f>
        <v>173152.59</v>
      </c>
      <c r="C14" s="254">
        <v>173152.59</v>
      </c>
      <c r="D14" s="284">
        <f t="shared" si="0"/>
        <v>100</v>
      </c>
    </row>
    <row r="15" spans="1:6" ht="14.25">
      <c r="A15" s="24" t="s">
        <v>83</v>
      </c>
      <c r="B15" s="220">
        <f>501159+29942-20000</f>
        <v>511101</v>
      </c>
      <c r="C15" s="254">
        <v>475213.63</v>
      </c>
      <c r="D15" s="284">
        <f t="shared" si="0"/>
        <v>92.978419138291642</v>
      </c>
    </row>
    <row r="16" spans="1:6" ht="30" customHeight="1">
      <c r="A16" s="24" t="s">
        <v>165</v>
      </c>
      <c r="B16" s="220">
        <f>487555+28995</f>
        <v>516550</v>
      </c>
      <c r="C16" s="254">
        <v>516550</v>
      </c>
      <c r="D16" s="284">
        <f t="shared" si="0"/>
        <v>100</v>
      </c>
    </row>
    <row r="17" spans="1:4" ht="14.25">
      <c r="A17" s="24" t="s">
        <v>82</v>
      </c>
      <c r="B17" s="220">
        <f>487555+28995-22000</f>
        <v>494550</v>
      </c>
      <c r="C17" s="254">
        <v>494550</v>
      </c>
      <c r="D17" s="284">
        <f t="shared" si="0"/>
        <v>100</v>
      </c>
    </row>
    <row r="18" spans="1:4" ht="14.25">
      <c r="A18" s="24" t="s">
        <v>84</v>
      </c>
      <c r="B18" s="220">
        <f>501159+29942</f>
        <v>531101</v>
      </c>
      <c r="C18" s="254">
        <v>531101</v>
      </c>
      <c r="D18" s="284">
        <f t="shared" si="0"/>
        <v>100</v>
      </c>
    </row>
    <row r="19" spans="1:4" ht="14.25">
      <c r="A19" s="24" t="s">
        <v>85</v>
      </c>
      <c r="B19" s="220">
        <f>154531+9465</f>
        <v>163996</v>
      </c>
      <c r="C19" s="254">
        <v>163996</v>
      </c>
      <c r="D19" s="284">
        <f t="shared" si="0"/>
        <v>100</v>
      </c>
    </row>
    <row r="20" spans="1:4" ht="14.25">
      <c r="A20" s="24" t="s">
        <v>138</v>
      </c>
      <c r="B20" s="220">
        <f>187818+11598</f>
        <v>199416</v>
      </c>
      <c r="C20" s="254">
        <v>199416</v>
      </c>
      <c r="D20" s="284">
        <f t="shared" si="0"/>
        <v>100</v>
      </c>
    </row>
    <row r="21" spans="1:4" ht="14.25">
      <c r="A21" s="24" t="s">
        <v>139</v>
      </c>
      <c r="B21" s="220">
        <f>487555+28995-6666</f>
        <v>509884</v>
      </c>
      <c r="C21" s="254">
        <v>509884</v>
      </c>
      <c r="D21" s="284">
        <f t="shared" si="0"/>
        <v>100</v>
      </c>
    </row>
    <row r="22" spans="1:4" ht="14.25">
      <c r="A22" s="24" t="s">
        <v>86</v>
      </c>
      <c r="B22" s="220">
        <f>132464+8113</f>
        <v>140577</v>
      </c>
      <c r="C22" s="254">
        <v>140577</v>
      </c>
      <c r="D22" s="284">
        <f t="shared" si="0"/>
        <v>100</v>
      </c>
    </row>
  </sheetData>
  <mergeCells count="2">
    <mergeCell ref="A2:D2"/>
    <mergeCell ref="A1:D1"/>
  </mergeCells>
  <phoneticPr fontId="3" type="noConversion"/>
  <pageMargins left="0.98425196850393704" right="0.23622047244094491" top="0.74803149606299213" bottom="0.74803149606299213" header="0.31496062992125984" footer="0.31496062992125984"/>
  <pageSetup paperSize="9" scale="95" fitToHeight="0"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Лист11">
    <tabColor rgb="FF92D050"/>
  </sheetPr>
  <dimension ref="A1:G22"/>
  <sheetViews>
    <sheetView workbookViewId="0">
      <selection activeCell="B4" sqref="B4:D4"/>
    </sheetView>
  </sheetViews>
  <sheetFormatPr defaultRowHeight="12.75"/>
  <cols>
    <col min="1" max="1" width="48.5703125" style="3" customWidth="1"/>
    <col min="2" max="2" width="15" style="3" bestFit="1" customWidth="1"/>
    <col min="3" max="4" width="15" style="3" customWidth="1"/>
    <col min="5" max="5" width="9.140625" style="3"/>
    <col min="6" max="6" width="12.5703125" style="3" customWidth="1"/>
    <col min="7" max="16384" width="9.140625" style="3"/>
  </cols>
  <sheetData>
    <row r="1" spans="1:7" ht="45" customHeight="1">
      <c r="A1" s="485" t="str">
        <f>"Приложение "&amp;Н1мол&amp;" к решению
Богучанского районного Совета депутатов
от "&amp;Р1дата&amp;" года №"&amp;Р1номер</f>
        <v>Приложение 9 к решению
Богучанского районного Совета депутатов
от  года №</v>
      </c>
      <c r="B1" s="485"/>
      <c r="C1" s="485"/>
      <c r="D1" s="485"/>
    </row>
    <row r="2" spans="1:7" ht="115.5" customHeight="1">
      <c r="A2" s="512" t="s">
        <v>2294</v>
      </c>
      <c r="B2" s="512"/>
      <c r="C2" s="512"/>
      <c r="D2" s="512"/>
    </row>
    <row r="3" spans="1:7">
      <c r="C3" s="8"/>
      <c r="D3" s="8" t="s">
        <v>69</v>
      </c>
    </row>
    <row r="4" spans="1:7" ht="28.5">
      <c r="A4" s="32" t="s">
        <v>21</v>
      </c>
      <c r="B4" s="22" t="s">
        <v>2264</v>
      </c>
      <c r="C4" s="22" t="s">
        <v>2286</v>
      </c>
      <c r="D4" s="22" t="s">
        <v>2263</v>
      </c>
      <c r="F4" s="38" t="s">
        <v>799</v>
      </c>
    </row>
    <row r="5" spans="1:7" ht="15">
      <c r="A5" s="34" t="s">
        <v>70</v>
      </c>
      <c r="B5" s="35">
        <f>SUM(B6:B22)</f>
        <v>2500000</v>
      </c>
      <c r="C5" s="35">
        <f>SUM(C6:C22)</f>
        <v>2500000</v>
      </c>
      <c r="D5" s="469">
        <f>C5/B5*100</f>
        <v>100</v>
      </c>
      <c r="E5" s="98" t="s">
        <v>259</v>
      </c>
      <c r="F5" s="101">
        <f ca="1">SUMIF(РзПз,"????"&amp;F$4,СумВед)-B5</f>
        <v>0</v>
      </c>
      <c r="G5" s="3">
        <v>2016</v>
      </c>
    </row>
    <row r="6" spans="1:7" ht="14.25">
      <c r="A6" s="10" t="s">
        <v>624</v>
      </c>
      <c r="B6" s="253">
        <v>173610</v>
      </c>
      <c r="C6" s="253">
        <v>173610</v>
      </c>
      <c r="D6" s="253">
        <f>C6/B6*100</f>
        <v>100</v>
      </c>
      <c r="F6" s="101">
        <f ca="1">SUMIF(РзПзПлПер,"????"&amp;F$4,СумВед14)-C5</f>
        <v>0</v>
      </c>
      <c r="G6" s="3">
        <v>2017</v>
      </c>
    </row>
    <row r="7" spans="1:7" ht="14.25">
      <c r="A7" s="10" t="s">
        <v>79</v>
      </c>
      <c r="B7" s="253">
        <v>86805</v>
      </c>
      <c r="C7" s="253">
        <v>86805</v>
      </c>
      <c r="D7" s="253">
        <f t="shared" ref="D7:D22" si="0">C7/B7*100</f>
        <v>100</v>
      </c>
      <c r="F7" s="101">
        <f ca="1">SUMIF(РзПзПлПер,"????"&amp;F$4,СумВед15)-D5</f>
        <v>2499900</v>
      </c>
      <c r="G7" s="3">
        <v>2018</v>
      </c>
    </row>
    <row r="8" spans="1:7" ht="14.25">
      <c r="A8" s="10" t="s">
        <v>58</v>
      </c>
      <c r="B8" s="253">
        <v>86821</v>
      </c>
      <c r="C8" s="253">
        <v>86821</v>
      </c>
      <c r="D8" s="253">
        <f t="shared" si="0"/>
        <v>100</v>
      </c>
    </row>
    <row r="9" spans="1:7" ht="14.25">
      <c r="A9" s="10" t="s">
        <v>59</v>
      </c>
      <c r="B9" s="253">
        <v>86805</v>
      </c>
      <c r="C9" s="253">
        <v>86805</v>
      </c>
      <c r="D9" s="253">
        <f t="shared" si="0"/>
        <v>100</v>
      </c>
    </row>
    <row r="10" spans="1:7" ht="15" customHeight="1">
      <c r="A10" s="12" t="s">
        <v>231</v>
      </c>
      <c r="B10" s="253">
        <v>277776</v>
      </c>
      <c r="C10" s="253">
        <v>277776</v>
      </c>
      <c r="D10" s="253">
        <f t="shared" si="0"/>
        <v>100</v>
      </c>
    </row>
    <row r="11" spans="1:7" ht="14.25">
      <c r="A11" s="10" t="s">
        <v>80</v>
      </c>
      <c r="B11" s="253">
        <v>173610</v>
      </c>
      <c r="C11" s="253">
        <v>173610</v>
      </c>
      <c r="D11" s="253">
        <f t="shared" si="0"/>
        <v>100</v>
      </c>
    </row>
    <row r="12" spans="1:7" ht="14.25">
      <c r="A12" s="10" t="s">
        <v>135</v>
      </c>
      <c r="B12" s="253">
        <v>173610</v>
      </c>
      <c r="C12" s="253">
        <v>173610</v>
      </c>
      <c r="D12" s="253">
        <f t="shared" si="0"/>
        <v>100</v>
      </c>
    </row>
    <row r="13" spans="1:7" ht="14.25">
      <c r="A13" s="10" t="s">
        <v>136</v>
      </c>
      <c r="B13" s="253">
        <v>86805</v>
      </c>
      <c r="C13" s="253">
        <v>86805</v>
      </c>
      <c r="D13" s="253">
        <f t="shared" si="0"/>
        <v>100</v>
      </c>
    </row>
    <row r="14" spans="1:7" ht="14.25">
      <c r="A14" s="10" t="s">
        <v>81</v>
      </c>
      <c r="B14" s="253">
        <v>173610</v>
      </c>
      <c r="C14" s="253">
        <v>173610</v>
      </c>
      <c r="D14" s="253">
        <f t="shared" si="0"/>
        <v>100</v>
      </c>
    </row>
    <row r="15" spans="1:7" ht="14.25">
      <c r="A15" s="10" t="s">
        <v>83</v>
      </c>
      <c r="B15" s="253">
        <v>138888</v>
      </c>
      <c r="C15" s="253">
        <v>138888</v>
      </c>
      <c r="D15" s="253">
        <f t="shared" si="0"/>
        <v>100</v>
      </c>
    </row>
    <row r="16" spans="1:7" ht="14.25">
      <c r="A16" s="10" t="s">
        <v>165</v>
      </c>
      <c r="B16" s="253">
        <f>86805+86805</f>
        <v>173610</v>
      </c>
      <c r="C16" s="253">
        <v>173610</v>
      </c>
      <c r="D16" s="253">
        <f t="shared" si="0"/>
        <v>100</v>
      </c>
    </row>
    <row r="17" spans="1:4" ht="14.25">
      <c r="A17" s="10" t="s">
        <v>82</v>
      </c>
      <c r="B17" s="253">
        <v>173610</v>
      </c>
      <c r="C17" s="253">
        <v>173610</v>
      </c>
      <c r="D17" s="253">
        <f t="shared" si="0"/>
        <v>100</v>
      </c>
    </row>
    <row r="18" spans="1:4" ht="14.25">
      <c r="A18" s="10" t="s">
        <v>84</v>
      </c>
      <c r="B18" s="253">
        <v>173610</v>
      </c>
      <c r="C18" s="253">
        <v>173610</v>
      </c>
      <c r="D18" s="253">
        <f t="shared" si="0"/>
        <v>100</v>
      </c>
    </row>
    <row r="19" spans="1:4" ht="14.25">
      <c r="A19" s="10" t="s">
        <v>85</v>
      </c>
      <c r="B19" s="253">
        <v>86805</v>
      </c>
      <c r="C19" s="253">
        <v>86805</v>
      </c>
      <c r="D19" s="253">
        <f t="shared" si="0"/>
        <v>100</v>
      </c>
    </row>
    <row r="20" spans="1:4" ht="14.25">
      <c r="A20" s="10" t="s">
        <v>138</v>
      </c>
      <c r="B20" s="253">
        <v>121527</v>
      </c>
      <c r="C20" s="253">
        <v>121527</v>
      </c>
      <c r="D20" s="253">
        <f t="shared" si="0"/>
        <v>100</v>
      </c>
    </row>
    <row r="21" spans="1:4" ht="14.25">
      <c r="A21" s="10" t="s">
        <v>139</v>
      </c>
      <c r="B21" s="253">
        <v>173610</v>
      </c>
      <c r="C21" s="253">
        <v>173610</v>
      </c>
      <c r="D21" s="253">
        <f t="shared" si="0"/>
        <v>100</v>
      </c>
    </row>
    <row r="22" spans="1:4" ht="14.25">
      <c r="A22" s="10" t="s">
        <v>86</v>
      </c>
      <c r="B22" s="253">
        <v>138888</v>
      </c>
      <c r="C22" s="253">
        <v>138888</v>
      </c>
      <c r="D22" s="253">
        <f t="shared" si="0"/>
        <v>100</v>
      </c>
    </row>
  </sheetData>
  <mergeCells count="2">
    <mergeCell ref="A2:D2"/>
    <mergeCell ref="A1:D1"/>
  </mergeCells>
  <phoneticPr fontId="3" type="noConversion"/>
  <pageMargins left="0.78740157480314965" right="0.23622047244094491" top="0.74803149606299213" bottom="0.74803149606299213" header="0.31496062992125984" footer="0.31496062992125984"/>
  <pageSetup paperSize="9" fitToHeight="0" orientation="portrait" r:id="rId1"/>
  <headerFooter alignWithMargins="0"/>
</worksheet>
</file>

<file path=xl/worksheets/sheet16.xml><?xml version="1.0" encoding="utf-8"?>
<worksheet xmlns="http://schemas.openxmlformats.org/spreadsheetml/2006/main" xmlns:r="http://schemas.openxmlformats.org/officeDocument/2006/relationships">
  <sheetPr>
    <tabColor rgb="FF92D050"/>
  </sheetPr>
  <dimension ref="A1:K27"/>
  <sheetViews>
    <sheetView workbookViewId="0">
      <selection activeCell="G16" sqref="G16"/>
    </sheetView>
  </sheetViews>
  <sheetFormatPr defaultRowHeight="12.75"/>
  <cols>
    <col min="1" max="1" width="39" customWidth="1"/>
    <col min="2" max="2" width="16.28515625" customWidth="1"/>
    <col min="3" max="3" width="17.5703125" customWidth="1"/>
    <col min="4" max="6" width="16.42578125" customWidth="1"/>
    <col min="7" max="7" width="16.85546875" customWidth="1"/>
    <col min="8" max="8" width="15.42578125" customWidth="1"/>
    <col min="9" max="9" width="9.140625" customWidth="1"/>
    <col min="10" max="10" width="14.28515625" customWidth="1"/>
    <col min="11" max="11" width="12" customWidth="1"/>
  </cols>
  <sheetData>
    <row r="1" spans="1:11" ht="42" customHeight="1">
      <c r="A1" s="485" t="str">
        <f>"Приложение №"&amp;Н1Дороги&amp;" к решению
Богучанского районного Совета депутатов
от "&amp;Р1дата&amp;" года №"&amp;Р1номер</f>
        <v>Приложение №10 к решению
Богучанского районного Совета депутатов
от  года №</v>
      </c>
      <c r="B1" s="485"/>
      <c r="C1" s="485"/>
      <c r="D1" s="485"/>
      <c r="E1" s="485"/>
      <c r="F1" s="485"/>
      <c r="G1" s="485"/>
    </row>
    <row r="2" spans="1:11" ht="64.5" customHeight="1">
      <c r="A2" s="512" t="s">
        <v>2295</v>
      </c>
      <c r="B2" s="512"/>
      <c r="C2" s="512"/>
      <c r="D2" s="512"/>
      <c r="E2" s="512"/>
      <c r="F2" s="512"/>
      <c r="G2" s="512"/>
    </row>
    <row r="3" spans="1:11" ht="16.5" customHeight="1">
      <c r="A3" s="207"/>
      <c r="B3" s="531" t="s">
        <v>69</v>
      </c>
      <c r="C3" s="531"/>
      <c r="D3" s="531"/>
      <c r="E3" s="531"/>
      <c r="F3" s="531"/>
      <c r="G3" s="531"/>
    </row>
    <row r="4" spans="1:11">
      <c r="A4" s="32" t="s">
        <v>21</v>
      </c>
      <c r="B4" s="532" t="s">
        <v>2264</v>
      </c>
      <c r="C4" s="533"/>
      <c r="D4" s="532" t="s">
        <v>2265</v>
      </c>
      <c r="E4" s="533"/>
      <c r="F4" s="532" t="s">
        <v>2263</v>
      </c>
      <c r="G4" s="533"/>
      <c r="J4" s="375" t="s">
        <v>1857</v>
      </c>
      <c r="K4" s="3" t="s">
        <v>259</v>
      </c>
    </row>
    <row r="5" spans="1:11" ht="81.75" customHeight="1">
      <c r="A5" s="32"/>
      <c r="B5" s="32" t="s">
        <v>1081</v>
      </c>
      <c r="C5" s="32" t="s">
        <v>2132</v>
      </c>
      <c r="D5" s="32" t="s">
        <v>1081</v>
      </c>
      <c r="E5" s="32" t="s">
        <v>2132</v>
      </c>
      <c r="F5" s="32" t="s">
        <v>1081</v>
      </c>
      <c r="G5" s="32" t="s">
        <v>2132</v>
      </c>
      <c r="J5" s="375"/>
      <c r="K5" s="3"/>
    </row>
    <row r="6" spans="1:11">
      <c r="A6" s="355" t="s">
        <v>70</v>
      </c>
      <c r="B6" s="471">
        <f>SUM(B7:B24)</f>
        <v>4874750</v>
      </c>
      <c r="C6" s="471">
        <f>SUM(C7:C24)</f>
        <v>10206400</v>
      </c>
      <c r="D6" s="471">
        <f>SUM(D7:D24)</f>
        <v>4874750</v>
      </c>
      <c r="E6" s="471">
        <f>SUM(E7:E24)</f>
        <v>10206400</v>
      </c>
      <c r="F6" s="470">
        <f>D6/B6*100</f>
        <v>100</v>
      </c>
      <c r="G6" s="470">
        <f>E6/C6*100</f>
        <v>100</v>
      </c>
      <c r="J6" s="99">
        <f ca="1">SUMIF(РзПз,"040909100Ч0030",СумВед)-B6</f>
        <v>0</v>
      </c>
      <c r="K6" s="3">
        <v>2022</v>
      </c>
    </row>
    <row r="7" spans="1:11">
      <c r="A7" s="421" t="s">
        <v>624</v>
      </c>
      <c r="B7" s="357">
        <v>271538</v>
      </c>
      <c r="C7" s="357">
        <v>568527</v>
      </c>
      <c r="D7" s="357">
        <v>271538</v>
      </c>
      <c r="E7" s="357">
        <v>568527</v>
      </c>
      <c r="F7" s="357">
        <f>D7/B7*100</f>
        <v>100</v>
      </c>
      <c r="G7" s="357">
        <f>E7/C7*100</f>
        <v>100</v>
      </c>
      <c r="H7" s="394"/>
      <c r="J7" s="99">
        <f ca="1">SUMIF(РзПзПлПер,"040909100Ч0030",СумВед14)-D6</f>
        <v>0</v>
      </c>
      <c r="K7" s="3">
        <v>2023</v>
      </c>
    </row>
    <row r="8" spans="1:11">
      <c r="A8" s="421" t="s">
        <v>79</v>
      </c>
      <c r="B8" s="357">
        <v>122945</v>
      </c>
      <c r="C8" s="357">
        <v>257413</v>
      </c>
      <c r="D8" s="357">
        <v>122945</v>
      </c>
      <c r="E8" s="357">
        <v>257413</v>
      </c>
      <c r="F8" s="357">
        <f t="shared" ref="F8:F24" si="0">D8/B8*100</f>
        <v>100</v>
      </c>
      <c r="G8" s="357">
        <f t="shared" ref="G8:G24" si="1">E8/C8*100</f>
        <v>100</v>
      </c>
      <c r="H8" s="394"/>
      <c r="J8" s="392">
        <f ca="1">SUMIF(РзПзПлПер,"040909100Ч0030",СумВед15)-G6</f>
        <v>4874650</v>
      </c>
      <c r="K8" s="3">
        <v>2024</v>
      </c>
    </row>
    <row r="9" spans="1:11">
      <c r="A9" s="421" t="s">
        <v>164</v>
      </c>
      <c r="B9" s="357">
        <v>83532</v>
      </c>
      <c r="C9" s="357">
        <v>174893</v>
      </c>
      <c r="D9" s="357">
        <v>83532</v>
      </c>
      <c r="E9" s="357">
        <v>174893</v>
      </c>
      <c r="F9" s="357">
        <f t="shared" si="0"/>
        <v>100</v>
      </c>
      <c r="G9" s="357">
        <f t="shared" si="1"/>
        <v>100</v>
      </c>
      <c r="H9" s="394"/>
    </row>
    <row r="10" spans="1:11">
      <c r="A10" s="421" t="s">
        <v>58</v>
      </c>
      <c r="B10" s="357">
        <v>1270467</v>
      </c>
      <c r="C10" s="357">
        <v>2660012</v>
      </c>
      <c r="D10" s="357">
        <v>1270467</v>
      </c>
      <c r="E10" s="357">
        <v>2660012</v>
      </c>
      <c r="F10" s="357">
        <f t="shared" si="0"/>
        <v>100</v>
      </c>
      <c r="G10" s="357">
        <f t="shared" si="1"/>
        <v>100</v>
      </c>
      <c r="H10" s="394"/>
    </row>
    <row r="11" spans="1:11">
      <c r="A11" s="421" t="s">
        <v>59</v>
      </c>
      <c r="B11" s="357">
        <v>75131</v>
      </c>
      <c r="C11" s="357">
        <v>157304</v>
      </c>
      <c r="D11" s="357">
        <v>75131</v>
      </c>
      <c r="E11" s="357">
        <v>157304</v>
      </c>
      <c r="F11" s="357">
        <f t="shared" si="0"/>
        <v>100</v>
      </c>
      <c r="G11" s="357">
        <f t="shared" si="1"/>
        <v>100</v>
      </c>
      <c r="H11" s="394"/>
    </row>
    <row r="12" spans="1:11" ht="25.5">
      <c r="A12" s="422" t="s">
        <v>231</v>
      </c>
      <c r="B12" s="357">
        <v>342741</v>
      </c>
      <c r="C12" s="357">
        <v>717606</v>
      </c>
      <c r="D12" s="357">
        <v>342741</v>
      </c>
      <c r="E12" s="357">
        <v>717606</v>
      </c>
      <c r="F12" s="357">
        <f t="shared" si="0"/>
        <v>100</v>
      </c>
      <c r="G12" s="357">
        <f t="shared" si="1"/>
        <v>100</v>
      </c>
      <c r="H12" s="394"/>
    </row>
    <row r="13" spans="1:11">
      <c r="A13" s="421" t="s">
        <v>80</v>
      </c>
      <c r="B13" s="357">
        <v>231939</v>
      </c>
      <c r="C13" s="357">
        <v>485618</v>
      </c>
      <c r="D13" s="357">
        <v>231939</v>
      </c>
      <c r="E13" s="357">
        <v>485618</v>
      </c>
      <c r="F13" s="357">
        <f t="shared" si="0"/>
        <v>100</v>
      </c>
      <c r="G13" s="357">
        <f t="shared" si="1"/>
        <v>100</v>
      </c>
      <c r="H13" s="394"/>
    </row>
    <row r="14" spans="1:11">
      <c r="A14" s="421" t="s">
        <v>135</v>
      </c>
      <c r="B14" s="357">
        <v>203602</v>
      </c>
      <c r="C14" s="357">
        <v>426286</v>
      </c>
      <c r="D14" s="357">
        <v>203602</v>
      </c>
      <c r="E14" s="357">
        <v>426286</v>
      </c>
      <c r="F14" s="357">
        <f t="shared" si="0"/>
        <v>100</v>
      </c>
      <c r="G14" s="357">
        <f t="shared" si="1"/>
        <v>100</v>
      </c>
      <c r="H14" s="394"/>
    </row>
    <row r="15" spans="1:11" ht="25.5">
      <c r="A15" s="421" t="s">
        <v>136</v>
      </c>
      <c r="B15" s="357">
        <v>76786</v>
      </c>
      <c r="C15" s="357">
        <v>160771</v>
      </c>
      <c r="D15" s="357">
        <v>76786</v>
      </c>
      <c r="E15" s="357">
        <v>160771</v>
      </c>
      <c r="F15" s="357">
        <f t="shared" si="0"/>
        <v>100</v>
      </c>
      <c r="G15" s="357">
        <f t="shared" si="1"/>
        <v>100</v>
      </c>
      <c r="H15" s="394"/>
    </row>
    <row r="16" spans="1:11">
      <c r="A16" s="421" t="s">
        <v>81</v>
      </c>
      <c r="B16" s="357">
        <v>131324</v>
      </c>
      <c r="C16" s="357">
        <v>274954</v>
      </c>
      <c r="D16" s="357">
        <v>131324</v>
      </c>
      <c r="E16" s="357">
        <v>274954</v>
      </c>
      <c r="F16" s="357">
        <f t="shared" si="0"/>
        <v>100</v>
      </c>
      <c r="G16" s="357">
        <f t="shared" si="1"/>
        <v>100</v>
      </c>
      <c r="H16" s="394"/>
    </row>
    <row r="17" spans="1:8">
      <c r="A17" s="421" t="s">
        <v>83</v>
      </c>
      <c r="B17" s="357">
        <v>448972</v>
      </c>
      <c r="C17" s="165">
        <v>940027</v>
      </c>
      <c r="D17" s="357">
        <v>448972</v>
      </c>
      <c r="E17" s="357">
        <v>940027</v>
      </c>
      <c r="F17" s="357">
        <f t="shared" si="0"/>
        <v>100</v>
      </c>
      <c r="G17" s="357">
        <f t="shared" si="1"/>
        <v>100</v>
      </c>
      <c r="H17" s="394"/>
    </row>
    <row r="18" spans="1:8" ht="25.5">
      <c r="A18" s="421" t="s">
        <v>165</v>
      </c>
      <c r="B18" s="423">
        <v>146171</v>
      </c>
      <c r="C18" s="165">
        <v>306044</v>
      </c>
      <c r="D18" s="423">
        <v>146171</v>
      </c>
      <c r="E18" s="423">
        <v>306044</v>
      </c>
      <c r="F18" s="357">
        <f t="shared" si="0"/>
        <v>100</v>
      </c>
      <c r="G18" s="357">
        <f t="shared" si="1"/>
        <v>100</v>
      </c>
      <c r="H18" s="394"/>
    </row>
    <row r="19" spans="1:8">
      <c r="A19" s="424" t="s">
        <v>82</v>
      </c>
      <c r="B19" s="357">
        <v>276018</v>
      </c>
      <c r="C19" s="165">
        <v>577907</v>
      </c>
      <c r="D19" s="357">
        <v>276018</v>
      </c>
      <c r="E19" s="357">
        <v>577907</v>
      </c>
      <c r="F19" s="357">
        <f t="shared" si="0"/>
        <v>100</v>
      </c>
      <c r="G19" s="357">
        <f t="shared" si="1"/>
        <v>100</v>
      </c>
      <c r="H19" s="394"/>
    </row>
    <row r="20" spans="1:8">
      <c r="A20" s="421" t="s">
        <v>84</v>
      </c>
      <c r="B20" s="357">
        <v>568599</v>
      </c>
      <c r="C20" s="165">
        <v>1190491</v>
      </c>
      <c r="D20" s="357">
        <v>568599</v>
      </c>
      <c r="E20" s="357">
        <v>1190491</v>
      </c>
      <c r="F20" s="357">
        <f t="shared" si="0"/>
        <v>100</v>
      </c>
      <c r="G20" s="357">
        <f t="shared" si="1"/>
        <v>100</v>
      </c>
      <c r="H20" s="394"/>
    </row>
    <row r="21" spans="1:8">
      <c r="A21" s="421" t="s">
        <v>85</v>
      </c>
      <c r="B21" s="357">
        <v>93124</v>
      </c>
      <c r="C21" s="425">
        <v>194976</v>
      </c>
      <c r="D21" s="357">
        <v>93124</v>
      </c>
      <c r="E21" s="357">
        <v>194976</v>
      </c>
      <c r="F21" s="357">
        <f t="shared" si="0"/>
        <v>100</v>
      </c>
      <c r="G21" s="357">
        <f t="shared" si="1"/>
        <v>100</v>
      </c>
      <c r="H21" s="394"/>
    </row>
    <row r="22" spans="1:8">
      <c r="A22" s="421" t="s">
        <v>138</v>
      </c>
      <c r="B22" s="357">
        <v>139042</v>
      </c>
      <c r="C22" s="425">
        <v>291116</v>
      </c>
      <c r="D22" s="357">
        <v>139042</v>
      </c>
      <c r="E22" s="357">
        <v>291116</v>
      </c>
      <c r="F22" s="357">
        <f t="shared" si="0"/>
        <v>100</v>
      </c>
      <c r="G22" s="357">
        <f t="shared" si="1"/>
        <v>100</v>
      </c>
      <c r="H22" s="394"/>
    </row>
    <row r="23" spans="1:8">
      <c r="A23" s="421" t="s">
        <v>139</v>
      </c>
      <c r="B23" s="357">
        <v>283094</v>
      </c>
      <c r="C23" s="425">
        <v>592722</v>
      </c>
      <c r="D23" s="357">
        <v>283094</v>
      </c>
      <c r="E23" s="357">
        <v>592722</v>
      </c>
      <c r="F23" s="357">
        <f t="shared" si="0"/>
        <v>100</v>
      </c>
      <c r="G23" s="357">
        <f t="shared" si="1"/>
        <v>100</v>
      </c>
      <c r="H23" s="394"/>
    </row>
    <row r="24" spans="1:8">
      <c r="A24" s="421" t="s">
        <v>86</v>
      </c>
      <c r="B24" s="357">
        <v>109725</v>
      </c>
      <c r="C24" s="425">
        <v>229733</v>
      </c>
      <c r="D24" s="357">
        <v>109725</v>
      </c>
      <c r="E24" s="357">
        <v>229733</v>
      </c>
      <c r="F24" s="357">
        <f t="shared" si="0"/>
        <v>100</v>
      </c>
      <c r="G24" s="357">
        <f t="shared" si="1"/>
        <v>100</v>
      </c>
      <c r="H24" s="394"/>
    </row>
    <row r="25" spans="1:8">
      <c r="B25" t="s">
        <v>1885</v>
      </c>
    </row>
    <row r="26" spans="1:8" ht="14.25">
      <c r="D26" s="393"/>
      <c r="E26" s="393"/>
      <c r="F26" s="393"/>
    </row>
    <row r="27" spans="1:8">
      <c r="D27" s="333"/>
      <c r="E27" s="333"/>
      <c r="F27" s="333"/>
    </row>
  </sheetData>
  <mergeCells count="6">
    <mergeCell ref="B3:G3"/>
    <mergeCell ref="A1:G1"/>
    <mergeCell ref="A2:G2"/>
    <mergeCell ref="B4:C4"/>
    <mergeCell ref="D4:E4"/>
    <mergeCell ref="F4:G4"/>
  </mergeCells>
  <pageMargins left="0.70866141732283472" right="0.11811023622047245" top="0.17" bottom="0.35433070866141736" header="0.21" footer="0.31496062992125984"/>
  <pageSetup paperSize="9" scale="90" orientation="landscape" r:id="rId1"/>
</worksheet>
</file>

<file path=xl/worksheets/sheet17.xml><?xml version="1.0" encoding="utf-8"?>
<worksheet xmlns="http://schemas.openxmlformats.org/spreadsheetml/2006/main" xmlns:r="http://schemas.openxmlformats.org/officeDocument/2006/relationships">
  <sheetPr>
    <tabColor rgb="FF92D050"/>
  </sheetPr>
  <dimension ref="A1:F23"/>
  <sheetViews>
    <sheetView zoomScaleNormal="100" workbookViewId="0">
      <selection activeCell="I17" sqref="I17"/>
    </sheetView>
  </sheetViews>
  <sheetFormatPr defaultRowHeight="12.75"/>
  <cols>
    <col min="1" max="1" width="43" customWidth="1"/>
    <col min="2" max="2" width="15.7109375" customWidth="1"/>
    <col min="3" max="3" width="16.140625" customWidth="1"/>
    <col min="4" max="4" width="16.85546875" customWidth="1"/>
    <col min="5" max="5" width="13.140625" customWidth="1"/>
  </cols>
  <sheetData>
    <row r="1" spans="1:6" ht="46.5" customHeight="1">
      <c r="A1" s="485" t="str">
        <f>"Приложение "&amp;Н1сбал&amp;" к решению
Богучанского районного Совета депутатов
от "&amp;Р1дата&amp;" года №"&amp;Р1номер</f>
        <v>Приложение 11 к решению
Богучанского районного Совета депутатов
от  года №</v>
      </c>
      <c r="B1" s="485"/>
      <c r="C1" s="485"/>
      <c r="D1" s="485"/>
      <c r="E1" s="19"/>
      <c r="F1" s="3"/>
    </row>
    <row r="2" spans="1:6" ht="88.5" customHeight="1">
      <c r="A2" s="484" t="str">
        <f>"Иные межбюджетные трансферты бюджетам поселений  Богучанского района из районного бюджета на поддержку мер по обеспечению сбалансированности бюджетов поселений Богучанского района за  "&amp;год&amp;" год "</f>
        <v xml:space="preserve">Иные межбюджетные трансферты бюджетам поселений  Богучанского района из районного бюджета на поддержку мер по обеспечению сбалансированности бюджетов поселений Богучанского района за  2022 год </v>
      </c>
      <c r="B2" s="484"/>
      <c r="C2" s="484"/>
      <c r="D2" s="484"/>
      <c r="E2" s="19"/>
      <c r="F2" s="3"/>
    </row>
    <row r="3" spans="1:6">
      <c r="A3" s="154"/>
      <c r="B3" s="8"/>
      <c r="C3" s="8"/>
      <c r="D3" s="155" t="s">
        <v>69</v>
      </c>
      <c r="E3" s="19"/>
      <c r="F3" s="3"/>
    </row>
    <row r="4" spans="1:6" ht="28.5">
      <c r="A4" s="22" t="s">
        <v>21</v>
      </c>
      <c r="B4" s="22" t="s">
        <v>2264</v>
      </c>
      <c r="C4" s="22" t="s">
        <v>2286</v>
      </c>
      <c r="D4" s="22" t="s">
        <v>2263</v>
      </c>
      <c r="E4" s="33">
        <v>1110080120</v>
      </c>
      <c r="F4" s="3" t="s">
        <v>259</v>
      </c>
    </row>
    <row r="5" spans="1:6" ht="15">
      <c r="A5" s="271" t="s">
        <v>70</v>
      </c>
      <c r="B5" s="246">
        <f>SUM(B6:B23)</f>
        <v>45183322</v>
      </c>
      <c r="C5" s="246">
        <f>SUM(C6:C23)</f>
        <v>38177541</v>
      </c>
      <c r="D5" s="472">
        <f>C5/B5*100</f>
        <v>84.494763355381437</v>
      </c>
      <c r="E5" s="99">
        <f ca="1">SUMIF(РзПз,"????"&amp;E$4,СумВед)-B5</f>
        <v>0</v>
      </c>
      <c r="F5" s="3">
        <v>2016</v>
      </c>
    </row>
    <row r="6" spans="1:6" ht="14.25">
      <c r="A6" s="277" t="s">
        <v>624</v>
      </c>
      <c r="B6" s="221">
        <f>3484600+50000+374950</f>
        <v>3909550</v>
      </c>
      <c r="C6" s="309">
        <v>3909550</v>
      </c>
      <c r="D6" s="309">
        <f>C6/B6*100</f>
        <v>100</v>
      </c>
      <c r="E6" s="99">
        <f ca="1">SUMIF(РзПзПлПер,"????"&amp;E$4,СумВед14)-C5</f>
        <v>-20037541</v>
      </c>
      <c r="F6" s="3">
        <v>2017</v>
      </c>
    </row>
    <row r="7" spans="1:6" ht="28.5">
      <c r="A7" s="277" t="s">
        <v>79</v>
      </c>
      <c r="B7" s="221">
        <f>3388400+101300+301941</f>
        <v>3791641</v>
      </c>
      <c r="C7" s="309">
        <v>2677100</v>
      </c>
      <c r="D7" s="309">
        <f t="shared" ref="D7:D23" si="0">C7/B7*100</f>
        <v>70.605313108493135</v>
      </c>
      <c r="E7" s="99">
        <f ca="1">SUMIF(РзПзПлПер,"????"&amp;E$4,СумВед15)-D5</f>
        <v>18139915.505236644</v>
      </c>
      <c r="F7" s="3">
        <v>2018</v>
      </c>
    </row>
    <row r="8" spans="1:6" ht="28.5">
      <c r="A8" s="310" t="s">
        <v>164</v>
      </c>
      <c r="B8" s="221">
        <f>236000</f>
        <v>236000</v>
      </c>
      <c r="C8" s="309">
        <v>236000</v>
      </c>
      <c r="D8" s="309">
        <f t="shared" si="0"/>
        <v>100</v>
      </c>
      <c r="E8" s="19"/>
      <c r="F8" s="3"/>
    </row>
    <row r="9" spans="1:6" ht="14.25">
      <c r="A9" s="310" t="s">
        <v>58</v>
      </c>
      <c r="B9" s="221">
        <f>650000+679308+150000+1200000</f>
        <v>2679308</v>
      </c>
      <c r="C9" s="309">
        <v>2679308</v>
      </c>
      <c r="D9" s="309">
        <f t="shared" si="0"/>
        <v>100</v>
      </c>
      <c r="E9" s="19"/>
      <c r="F9" s="3"/>
    </row>
    <row r="10" spans="1:6" ht="28.5">
      <c r="A10" s="277" t="s">
        <v>59</v>
      </c>
      <c r="B10" s="221">
        <f>3547700+120000+120000+417000</f>
        <v>4204700</v>
      </c>
      <c r="C10" s="309">
        <v>4204700</v>
      </c>
      <c r="D10" s="309">
        <f t="shared" si="0"/>
        <v>100</v>
      </c>
      <c r="E10" s="19"/>
      <c r="F10" s="3"/>
    </row>
    <row r="11" spans="1:6" ht="33.75" customHeight="1">
      <c r="A11" s="42" t="s">
        <v>231</v>
      </c>
      <c r="B11" s="221">
        <f>149500+200000+217000</f>
        <v>566500</v>
      </c>
      <c r="C11" s="309">
        <v>566500</v>
      </c>
      <c r="D11" s="309">
        <f t="shared" si="0"/>
        <v>100</v>
      </c>
      <c r="E11" s="19"/>
      <c r="F11" s="3"/>
    </row>
    <row r="12" spans="1:6" ht="14.25">
      <c r="A12" s="277" t="s">
        <v>80</v>
      </c>
      <c r="B12" s="221">
        <f>3078900+33900</f>
        <v>3112800</v>
      </c>
      <c r="C12" s="309">
        <v>1200000</v>
      </c>
      <c r="D12" s="309">
        <f t="shared" si="0"/>
        <v>38.550501156515033</v>
      </c>
      <c r="E12" s="37"/>
      <c r="F12" s="3"/>
    </row>
    <row r="13" spans="1:6" ht="14.25">
      <c r="A13" s="277" t="s">
        <v>135</v>
      </c>
      <c r="B13" s="221">
        <f>5676300+100000+220000</f>
        <v>5996300</v>
      </c>
      <c r="C13" s="309">
        <v>5996300</v>
      </c>
      <c r="D13" s="309">
        <f t="shared" si="0"/>
        <v>100</v>
      </c>
      <c r="E13" s="19"/>
      <c r="F13" s="3"/>
    </row>
    <row r="14" spans="1:6" ht="28.5">
      <c r="A14" s="277" t="s">
        <v>136</v>
      </c>
      <c r="B14" s="221">
        <f>65000</f>
        <v>65000</v>
      </c>
      <c r="C14" s="309">
        <v>65000</v>
      </c>
      <c r="D14" s="309">
        <f t="shared" si="0"/>
        <v>100</v>
      </c>
      <c r="E14" s="19"/>
      <c r="F14" s="3"/>
    </row>
    <row r="15" spans="1:6" ht="28.5">
      <c r="A15" s="277" t="s">
        <v>81</v>
      </c>
      <c r="B15" s="221">
        <f>3187900+100000+251000</f>
        <v>3538900</v>
      </c>
      <c r="C15" s="309">
        <v>3071700</v>
      </c>
      <c r="D15" s="309">
        <f t="shared" si="0"/>
        <v>86.798157619599309</v>
      </c>
      <c r="E15" s="19"/>
      <c r="F15" s="3"/>
    </row>
    <row r="16" spans="1:6" ht="28.5">
      <c r="A16" s="277" t="s">
        <v>83</v>
      </c>
      <c r="B16" s="221">
        <f>595900+51540+140000</f>
        <v>787440</v>
      </c>
      <c r="C16" s="309">
        <v>1540</v>
      </c>
      <c r="D16" s="309">
        <f t="shared" si="0"/>
        <v>0.19557045616173932</v>
      </c>
      <c r="E16" s="19"/>
      <c r="F16" s="3"/>
    </row>
    <row r="17" spans="1:6" ht="25.5" customHeight="1">
      <c r="A17" s="277" t="s">
        <v>165</v>
      </c>
      <c r="B17" s="221">
        <v>101540</v>
      </c>
      <c r="C17" s="309">
        <v>101540</v>
      </c>
      <c r="D17" s="309">
        <f t="shared" si="0"/>
        <v>100</v>
      </c>
      <c r="E17" s="19"/>
      <c r="F17" s="3"/>
    </row>
    <row r="18" spans="1:6" ht="14.25">
      <c r="A18" s="277" t="s">
        <v>82</v>
      </c>
      <c r="B18" s="221">
        <f>4417600+200000+101540</f>
        <v>4719140</v>
      </c>
      <c r="C18" s="309">
        <v>3450000</v>
      </c>
      <c r="D18" s="309">
        <f t="shared" si="0"/>
        <v>73.106540598498881</v>
      </c>
      <c r="E18" s="19"/>
      <c r="F18" s="3"/>
    </row>
    <row r="19" spans="1:6" ht="28.5">
      <c r="A19" s="277" t="s">
        <v>84</v>
      </c>
      <c r="B19" s="221">
        <f>740100+1213903+2500</f>
        <v>1956503</v>
      </c>
      <c r="C19" s="309">
        <v>1956503</v>
      </c>
      <c r="D19" s="309">
        <f t="shared" si="0"/>
        <v>100</v>
      </c>
      <c r="E19" s="19"/>
      <c r="F19" s="3"/>
    </row>
    <row r="20" spans="1:6" ht="28.5">
      <c r="A20" s="277" t="s">
        <v>85</v>
      </c>
      <c r="B20" s="221">
        <f>76100</f>
        <v>76100</v>
      </c>
      <c r="C20" s="309">
        <v>76100</v>
      </c>
      <c r="D20" s="309">
        <f t="shared" si="0"/>
        <v>100</v>
      </c>
      <c r="E20" s="19"/>
      <c r="F20" s="3"/>
    </row>
    <row r="21" spans="1:6" ht="28.5">
      <c r="A21" s="277" t="s">
        <v>138</v>
      </c>
      <c r="B21" s="221">
        <v>2956200</v>
      </c>
      <c r="C21" s="309">
        <v>1500000</v>
      </c>
      <c r="D21" s="309">
        <f t="shared" si="0"/>
        <v>50.740815912319867</v>
      </c>
      <c r="E21" s="19"/>
      <c r="F21" s="3"/>
    </row>
    <row r="22" spans="1:6" ht="14.25">
      <c r="A22" s="277" t="s">
        <v>139</v>
      </c>
      <c r="B22" s="221">
        <f>1535000+200000+75500</f>
        <v>1810500</v>
      </c>
      <c r="C22" s="309">
        <v>1810500</v>
      </c>
      <c r="D22" s="309">
        <f t="shared" si="0"/>
        <v>100</v>
      </c>
      <c r="E22" s="19"/>
      <c r="F22" s="3"/>
    </row>
    <row r="23" spans="1:6" ht="14.25">
      <c r="A23" s="277" t="s">
        <v>86</v>
      </c>
      <c r="B23" s="221">
        <f>4252200+150000+123000+150000</f>
        <v>4675200</v>
      </c>
      <c r="C23" s="309">
        <v>4675200</v>
      </c>
      <c r="D23" s="309">
        <f t="shared" si="0"/>
        <v>100</v>
      </c>
      <c r="E23" s="19"/>
      <c r="F23" s="3"/>
    </row>
  </sheetData>
  <mergeCells count="2">
    <mergeCell ref="A1:D1"/>
    <mergeCell ref="A2:D2"/>
  </mergeCells>
  <pageMargins left="0.70866141732283472" right="0.11811023622047245"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sheetPr>
    <tabColor rgb="FF92D050"/>
  </sheetPr>
  <dimension ref="A1:J25"/>
  <sheetViews>
    <sheetView workbookViewId="0">
      <selection activeCell="B5" sqref="B5:D5"/>
    </sheetView>
  </sheetViews>
  <sheetFormatPr defaultRowHeight="12.75"/>
  <cols>
    <col min="1" max="1" width="47" customWidth="1"/>
    <col min="2" max="2" width="16.5703125" customWidth="1"/>
    <col min="3" max="3" width="17.140625" customWidth="1"/>
    <col min="4" max="4" width="16.140625" customWidth="1"/>
    <col min="6" max="6" width="11.140625" bestFit="1" customWidth="1"/>
    <col min="9" max="9" width="17" customWidth="1"/>
    <col min="10" max="10" width="17.85546875" customWidth="1"/>
  </cols>
  <sheetData>
    <row r="1" spans="1:10" ht="47.25" customHeight="1">
      <c r="A1" s="485" t="str">
        <f>"Приложение №"&amp;Н1пожар&amp;" к решению
Богучанского районного Совета депутатов
от "&amp;Р1дата&amp;" года №"&amp;Р1номер</f>
        <v>Приложение №12 к решению
Богучанского районного Совета депутатов
от  года №</v>
      </c>
      <c r="B1" s="485"/>
      <c r="C1" s="485"/>
      <c r="D1" s="485"/>
    </row>
    <row r="2" spans="1:10" ht="87" customHeight="1">
      <c r="A2" s="534" t="s">
        <v>2296</v>
      </c>
      <c r="B2" s="534"/>
      <c r="C2" s="534"/>
      <c r="D2" s="534"/>
    </row>
    <row r="3" spans="1:10" ht="10.5" customHeight="1">
      <c r="A3" s="535"/>
      <c r="B3" s="535"/>
      <c r="C3" s="535"/>
      <c r="D3" s="535"/>
    </row>
    <row r="4" spans="1:10" ht="20.25">
      <c r="A4" s="209"/>
      <c r="B4" s="251"/>
      <c r="C4" s="251"/>
      <c r="D4" s="8" t="s">
        <v>69</v>
      </c>
    </row>
    <row r="5" spans="1:10" ht="28.5">
      <c r="A5" s="22" t="s">
        <v>21</v>
      </c>
      <c r="B5" s="22" t="s">
        <v>2264</v>
      </c>
      <c r="C5" s="22" t="s">
        <v>2286</v>
      </c>
      <c r="D5" s="22" t="s">
        <v>2263</v>
      </c>
      <c r="F5" s="184" t="s">
        <v>1224</v>
      </c>
    </row>
    <row r="6" spans="1:10" ht="15">
      <c r="A6" s="271" t="s">
        <v>70</v>
      </c>
      <c r="B6" s="413">
        <f>SUM(B7:B24)</f>
        <v>4102500</v>
      </c>
      <c r="C6" s="413">
        <f>SUM(C7:C24)</f>
        <v>4102500</v>
      </c>
      <c r="D6" s="415">
        <f>C6/B6*100</f>
        <v>100</v>
      </c>
      <c r="F6" s="99">
        <f ca="1">SUMIF(РзПз,"????0420074120",СумВед)-D6</f>
        <v>-100</v>
      </c>
      <c r="I6" s="335"/>
      <c r="J6" s="333"/>
    </row>
    <row r="7" spans="1:10" ht="14.25">
      <c r="A7" s="414" t="s">
        <v>57</v>
      </c>
      <c r="B7" s="415">
        <v>178200</v>
      </c>
      <c r="C7" s="415">
        <v>178200</v>
      </c>
      <c r="D7" s="415">
        <f>C7/B7*100</f>
        <v>100</v>
      </c>
      <c r="I7" s="336"/>
      <c r="J7" s="333"/>
    </row>
    <row r="8" spans="1:10" ht="14.25">
      <c r="A8" s="414" t="s">
        <v>1614</v>
      </c>
      <c r="B8" s="415">
        <v>61700</v>
      </c>
      <c r="C8" s="415">
        <v>61700</v>
      </c>
      <c r="D8" s="415">
        <f t="shared" ref="D8:D24" si="0">C8/B8*100</f>
        <v>100</v>
      </c>
      <c r="I8" s="336"/>
      <c r="J8" s="333"/>
    </row>
    <row r="9" spans="1:10" ht="14.25">
      <c r="A9" s="414" t="s">
        <v>164</v>
      </c>
      <c r="B9" s="415">
        <v>21900</v>
      </c>
      <c r="C9" s="415">
        <v>21900</v>
      </c>
      <c r="D9" s="415">
        <f t="shared" si="0"/>
        <v>100</v>
      </c>
      <c r="I9" s="336"/>
      <c r="J9" s="333"/>
    </row>
    <row r="10" spans="1:10" ht="14.25">
      <c r="A10" s="414" t="s">
        <v>58</v>
      </c>
      <c r="B10" s="415">
        <v>1006600</v>
      </c>
      <c r="C10" s="415">
        <v>1006600</v>
      </c>
      <c r="D10" s="415">
        <f t="shared" si="0"/>
        <v>100</v>
      </c>
      <c r="I10" s="337"/>
      <c r="J10" s="333"/>
    </row>
    <row r="11" spans="1:10" ht="14.25">
      <c r="A11" s="414" t="s">
        <v>59</v>
      </c>
      <c r="B11" s="415">
        <v>65000</v>
      </c>
      <c r="C11" s="415">
        <v>65000</v>
      </c>
      <c r="D11" s="415">
        <f t="shared" si="0"/>
        <v>100</v>
      </c>
      <c r="I11" s="337"/>
      <c r="J11" s="333"/>
    </row>
    <row r="12" spans="1:10" ht="28.5">
      <c r="A12" s="414" t="s">
        <v>231</v>
      </c>
      <c r="B12" s="415">
        <v>297900</v>
      </c>
      <c r="C12" s="415">
        <v>297900</v>
      </c>
      <c r="D12" s="415">
        <f t="shared" si="0"/>
        <v>100</v>
      </c>
      <c r="I12" s="337"/>
      <c r="J12" s="333"/>
    </row>
    <row r="13" spans="1:10" ht="14.25">
      <c r="A13" s="414" t="s">
        <v>1060</v>
      </c>
      <c r="B13" s="415">
        <v>165300</v>
      </c>
      <c r="C13" s="415">
        <v>165300</v>
      </c>
      <c r="D13" s="415">
        <f t="shared" si="0"/>
        <v>100</v>
      </c>
      <c r="I13" s="337"/>
      <c r="J13" s="333"/>
    </row>
    <row r="14" spans="1:10" ht="14.25">
      <c r="A14" s="414" t="s">
        <v>135</v>
      </c>
      <c r="B14" s="415">
        <v>146200</v>
      </c>
      <c r="C14" s="415">
        <v>146200</v>
      </c>
      <c r="D14" s="415">
        <f t="shared" si="0"/>
        <v>100</v>
      </c>
      <c r="I14" s="337"/>
      <c r="J14" s="333"/>
    </row>
    <row r="15" spans="1:10" ht="14.25">
      <c r="A15" s="414" t="s">
        <v>136</v>
      </c>
      <c r="B15" s="415">
        <v>45900</v>
      </c>
      <c r="C15" s="415">
        <v>45900</v>
      </c>
      <c r="D15" s="415">
        <f t="shared" si="0"/>
        <v>100</v>
      </c>
      <c r="I15" s="337"/>
      <c r="J15" s="333"/>
    </row>
    <row r="16" spans="1:10" ht="14.25">
      <c r="A16" s="414" t="s">
        <v>81</v>
      </c>
      <c r="B16" s="415">
        <v>111500</v>
      </c>
      <c r="C16" s="415">
        <v>111500</v>
      </c>
      <c r="D16" s="415">
        <f t="shared" si="0"/>
        <v>100</v>
      </c>
      <c r="I16" s="337"/>
      <c r="J16" s="333"/>
    </row>
    <row r="17" spans="1:10" ht="14.25">
      <c r="A17" s="414" t="s">
        <v>83</v>
      </c>
      <c r="B17" s="415">
        <v>509100</v>
      </c>
      <c r="C17" s="415">
        <v>509100</v>
      </c>
      <c r="D17" s="415">
        <f t="shared" si="0"/>
        <v>100</v>
      </c>
      <c r="I17" s="337"/>
      <c r="J17" s="333"/>
    </row>
    <row r="18" spans="1:10" ht="28.5">
      <c r="A18" s="414" t="s">
        <v>165</v>
      </c>
      <c r="B18" s="415">
        <v>139000</v>
      </c>
      <c r="C18" s="415">
        <v>139000</v>
      </c>
      <c r="D18" s="415">
        <f t="shared" si="0"/>
        <v>100</v>
      </c>
      <c r="I18" s="337"/>
      <c r="J18" s="333"/>
    </row>
    <row r="19" spans="1:10" ht="14.25">
      <c r="A19" s="414" t="s">
        <v>82</v>
      </c>
      <c r="B19" s="415">
        <v>210700</v>
      </c>
      <c r="C19" s="415">
        <v>210700</v>
      </c>
      <c r="D19" s="415">
        <f t="shared" si="0"/>
        <v>100</v>
      </c>
      <c r="I19" s="337"/>
      <c r="J19" s="333"/>
    </row>
    <row r="20" spans="1:10" ht="14.25">
      <c r="A20" s="414" t="s">
        <v>1615</v>
      </c>
      <c r="B20" s="415">
        <v>581600</v>
      </c>
      <c r="C20" s="415">
        <v>581600</v>
      </c>
      <c r="D20" s="415">
        <f t="shared" si="0"/>
        <v>100</v>
      </c>
      <c r="I20" s="338"/>
      <c r="J20" s="333"/>
    </row>
    <row r="21" spans="1:10" ht="14.25">
      <c r="A21" s="414" t="s">
        <v>1802</v>
      </c>
      <c r="B21" s="415">
        <v>62100</v>
      </c>
      <c r="C21" s="415">
        <v>62100</v>
      </c>
      <c r="D21" s="415">
        <f t="shared" si="0"/>
        <v>100</v>
      </c>
      <c r="I21" s="337"/>
      <c r="J21" s="333"/>
    </row>
    <row r="22" spans="1:10" ht="14.25">
      <c r="A22" s="414" t="s">
        <v>138</v>
      </c>
      <c r="B22" s="415">
        <v>134500</v>
      </c>
      <c r="C22" s="415">
        <v>134500</v>
      </c>
      <c r="D22" s="415">
        <f t="shared" si="0"/>
        <v>100</v>
      </c>
      <c r="I22" s="337"/>
      <c r="J22" s="333"/>
    </row>
    <row r="23" spans="1:10" ht="14.25">
      <c r="A23" s="414" t="s">
        <v>139</v>
      </c>
      <c r="B23" s="415">
        <v>274400</v>
      </c>
      <c r="C23" s="415">
        <v>274400</v>
      </c>
      <c r="D23" s="415">
        <f t="shared" si="0"/>
        <v>100</v>
      </c>
      <c r="I23" s="337"/>
      <c r="J23" s="333"/>
    </row>
    <row r="24" spans="1:10" ht="14.25">
      <c r="A24" s="414" t="s">
        <v>86</v>
      </c>
      <c r="B24" s="415">
        <v>90900</v>
      </c>
      <c r="C24" s="415">
        <v>90900</v>
      </c>
      <c r="D24" s="415">
        <f t="shared" si="0"/>
        <v>100</v>
      </c>
      <c r="I24" s="337"/>
      <c r="J24" s="333"/>
    </row>
    <row r="25" spans="1:10" ht="14.25">
      <c r="A25" s="232"/>
      <c r="B25" s="232"/>
      <c r="C25" s="232"/>
    </row>
  </sheetData>
  <mergeCells count="3">
    <mergeCell ref="A1:D1"/>
    <mergeCell ref="A2:D2"/>
    <mergeCell ref="A3:D3"/>
  </mergeCells>
  <pageMargins left="0.51181102362204722" right="0.51181102362204722" top="0.74803149606299213" bottom="0.74803149606299213" header="0.31496062992125984" footer="0.31496062992125984"/>
  <pageSetup paperSize="9" scale="95" orientation="portrait" r:id="rId1"/>
</worksheet>
</file>

<file path=xl/worksheets/sheet19.xml><?xml version="1.0" encoding="utf-8"?>
<worksheet xmlns="http://schemas.openxmlformats.org/spreadsheetml/2006/main" xmlns:r="http://schemas.openxmlformats.org/officeDocument/2006/relationships">
  <sheetPr>
    <tabColor rgb="FF92D050"/>
  </sheetPr>
  <dimension ref="A1:D23"/>
  <sheetViews>
    <sheetView workbookViewId="0">
      <selection activeCell="A2" sqref="A2:D2"/>
    </sheetView>
  </sheetViews>
  <sheetFormatPr defaultRowHeight="12.75"/>
  <cols>
    <col min="1" max="1" width="48" customWidth="1"/>
    <col min="2" max="2" width="17.7109375" customWidth="1"/>
    <col min="3" max="3" width="14.42578125" customWidth="1"/>
    <col min="4" max="4" width="14.28515625" customWidth="1"/>
  </cols>
  <sheetData>
    <row r="1" spans="1:4" ht="63" customHeight="1">
      <c r="A1" s="485" t="s">
        <v>2302</v>
      </c>
      <c r="B1" s="485"/>
      <c r="C1" s="485"/>
      <c r="D1" s="485"/>
    </row>
    <row r="2" spans="1:4" ht="90" customHeight="1">
      <c r="A2" s="536" t="s">
        <v>2297</v>
      </c>
      <c r="B2" s="536"/>
      <c r="C2" s="536"/>
      <c r="D2" s="536"/>
    </row>
    <row r="3" spans="1:4">
      <c r="A3" s="154"/>
      <c r="B3" s="8"/>
      <c r="C3" s="8"/>
      <c r="D3" s="155" t="s">
        <v>69</v>
      </c>
    </row>
    <row r="4" spans="1:4" ht="28.5">
      <c r="A4" s="22" t="s">
        <v>21</v>
      </c>
      <c r="B4" s="22" t="s">
        <v>2264</v>
      </c>
      <c r="C4" s="22" t="s">
        <v>2286</v>
      </c>
      <c r="D4" s="22" t="s">
        <v>2263</v>
      </c>
    </row>
    <row r="5" spans="1:4" ht="15">
      <c r="A5" s="426" t="s">
        <v>70</v>
      </c>
      <c r="B5" s="246">
        <f>SUM(B6:B23)</f>
        <v>5458044</v>
      </c>
      <c r="C5" s="246">
        <f>SUM(C6:C23)</f>
        <v>5458044</v>
      </c>
      <c r="D5" s="477">
        <f>C5/B5*100</f>
        <v>100</v>
      </c>
    </row>
    <row r="6" spans="1:4" ht="14.25">
      <c r="A6" s="416" t="s">
        <v>57</v>
      </c>
      <c r="B6" s="417">
        <f>115770+163259</f>
        <v>279029</v>
      </c>
      <c r="C6" s="417">
        <f>115770+163259</f>
        <v>279029</v>
      </c>
      <c r="D6" s="477">
        <f>C6/B6*100</f>
        <v>100</v>
      </c>
    </row>
    <row r="7" spans="1:4" ht="14.25">
      <c r="A7" s="416" t="s">
        <v>1614</v>
      </c>
      <c r="B7" s="417">
        <f>115770+162999</f>
        <v>278769</v>
      </c>
      <c r="C7" s="417">
        <f>115770+162999</f>
        <v>278769</v>
      </c>
      <c r="D7" s="477">
        <f t="shared" ref="D7:D23" si="0">C7/B7*100</f>
        <v>100</v>
      </c>
    </row>
    <row r="8" spans="1:4" ht="14.25">
      <c r="A8" s="416" t="s">
        <v>164</v>
      </c>
      <c r="B8" s="417">
        <f>129600+104292</f>
        <v>233892</v>
      </c>
      <c r="C8" s="417">
        <f>129600+104292</f>
        <v>233892</v>
      </c>
      <c r="D8" s="477">
        <f t="shared" si="0"/>
        <v>100</v>
      </c>
    </row>
    <row r="9" spans="1:4" ht="14.25">
      <c r="A9" s="416" t="s">
        <v>58</v>
      </c>
      <c r="B9" s="417">
        <f>16000+432513</f>
        <v>448513</v>
      </c>
      <c r="C9" s="417">
        <f>16000+432513</f>
        <v>448513</v>
      </c>
      <c r="D9" s="477">
        <f t="shared" si="0"/>
        <v>100</v>
      </c>
    </row>
    <row r="10" spans="1:4" ht="14.25">
      <c r="A10" s="416" t="s">
        <v>59</v>
      </c>
      <c r="B10" s="417">
        <f>115770+133403</f>
        <v>249173</v>
      </c>
      <c r="C10" s="417">
        <f>115770+133403</f>
        <v>249173</v>
      </c>
      <c r="D10" s="477">
        <f t="shared" si="0"/>
        <v>100</v>
      </c>
    </row>
    <row r="11" spans="1:4" ht="28.5">
      <c r="A11" s="416" t="s">
        <v>231</v>
      </c>
      <c r="B11" s="417">
        <f>162000+194753</f>
        <v>356753</v>
      </c>
      <c r="C11" s="417">
        <f>162000+194753</f>
        <v>356753</v>
      </c>
      <c r="D11" s="477">
        <f t="shared" si="0"/>
        <v>100</v>
      </c>
    </row>
    <row r="12" spans="1:4" ht="14.25">
      <c r="A12" s="416" t="s">
        <v>1060</v>
      </c>
      <c r="B12" s="417">
        <f>69400+164417</f>
        <v>233817</v>
      </c>
      <c r="C12" s="417">
        <f>69400+164417</f>
        <v>233817</v>
      </c>
      <c r="D12" s="477">
        <f t="shared" si="0"/>
        <v>100</v>
      </c>
    </row>
    <row r="13" spans="1:4" ht="14.25">
      <c r="A13" s="416" t="s">
        <v>135</v>
      </c>
      <c r="B13" s="417">
        <f>304700+197943</f>
        <v>502643</v>
      </c>
      <c r="C13" s="417">
        <f>304700+197943</f>
        <v>502643</v>
      </c>
      <c r="D13" s="477">
        <f t="shared" si="0"/>
        <v>100</v>
      </c>
    </row>
    <row r="14" spans="1:4" ht="14.25">
      <c r="A14" s="416" t="s">
        <v>136</v>
      </c>
      <c r="B14" s="417">
        <f>92600+104799</f>
        <v>197399</v>
      </c>
      <c r="C14" s="417">
        <f>92600+104799</f>
        <v>197399</v>
      </c>
      <c r="D14" s="477">
        <f t="shared" si="0"/>
        <v>100</v>
      </c>
    </row>
    <row r="15" spans="1:4" ht="14.25">
      <c r="A15" s="416" t="s">
        <v>81</v>
      </c>
      <c r="B15" s="417">
        <f>119100+162792</f>
        <v>281892</v>
      </c>
      <c r="C15" s="417">
        <f>119100+162792</f>
        <v>281892</v>
      </c>
      <c r="D15" s="477">
        <f t="shared" si="0"/>
        <v>100</v>
      </c>
    </row>
    <row r="16" spans="1:4" ht="14.25">
      <c r="A16" s="416" t="s">
        <v>83</v>
      </c>
      <c r="B16" s="417">
        <f>162000+276013</f>
        <v>438013</v>
      </c>
      <c r="C16" s="417">
        <f>162000+276013</f>
        <v>438013</v>
      </c>
      <c r="D16" s="477">
        <f t="shared" si="0"/>
        <v>100</v>
      </c>
    </row>
    <row r="17" spans="1:4" ht="14.25">
      <c r="A17" s="416" t="s">
        <v>165</v>
      </c>
      <c r="B17" s="417">
        <f>128300+163863</f>
        <v>292163</v>
      </c>
      <c r="C17" s="417">
        <f>128300+163863</f>
        <v>292163</v>
      </c>
      <c r="D17" s="477">
        <f t="shared" si="0"/>
        <v>100</v>
      </c>
    </row>
    <row r="18" spans="1:4" ht="14.25">
      <c r="A18" s="416" t="s">
        <v>82</v>
      </c>
      <c r="B18" s="417">
        <f>115770+164794</f>
        <v>280564</v>
      </c>
      <c r="C18" s="417">
        <f>115770+164794</f>
        <v>280564</v>
      </c>
      <c r="D18" s="477">
        <f t="shared" si="0"/>
        <v>100</v>
      </c>
    </row>
    <row r="19" spans="1:4" ht="14.25">
      <c r="A19" s="416" t="s">
        <v>1615</v>
      </c>
      <c r="B19" s="417">
        <f>69400+282132</f>
        <v>351532</v>
      </c>
      <c r="C19" s="417">
        <f>69400+282132</f>
        <v>351532</v>
      </c>
      <c r="D19" s="477">
        <f t="shared" si="0"/>
        <v>100</v>
      </c>
    </row>
    <row r="20" spans="1:4" ht="14.25">
      <c r="A20" s="416" t="s">
        <v>1802</v>
      </c>
      <c r="B20" s="417">
        <f>46300+133905</f>
        <v>180205</v>
      </c>
      <c r="C20" s="417">
        <f>46300+133905</f>
        <v>180205</v>
      </c>
      <c r="D20" s="477">
        <f t="shared" si="0"/>
        <v>100</v>
      </c>
    </row>
    <row r="21" spans="1:4" ht="14.25">
      <c r="A21" s="416" t="s">
        <v>138</v>
      </c>
      <c r="B21" s="417">
        <f>69400+163595</f>
        <v>232995</v>
      </c>
      <c r="C21" s="417">
        <f>69400+163595</f>
        <v>232995</v>
      </c>
      <c r="D21" s="477">
        <f t="shared" si="0"/>
        <v>100</v>
      </c>
    </row>
    <row r="22" spans="1:4" ht="14.25">
      <c r="A22" s="416" t="s">
        <v>139</v>
      </c>
      <c r="B22" s="417">
        <f>115770+194220</f>
        <v>309990</v>
      </c>
      <c r="C22" s="417">
        <f>115770+194220</f>
        <v>309990</v>
      </c>
      <c r="D22" s="477">
        <f t="shared" si="0"/>
        <v>100</v>
      </c>
    </row>
    <row r="23" spans="1:4" ht="14.25">
      <c r="A23" s="416" t="s">
        <v>86</v>
      </c>
      <c r="B23" s="417">
        <f>146600+164102</f>
        <v>310702</v>
      </c>
      <c r="C23" s="417">
        <f>146600+164102</f>
        <v>310702</v>
      </c>
      <c r="D23" s="477">
        <f t="shared" si="0"/>
        <v>100</v>
      </c>
    </row>
  </sheetData>
  <mergeCells count="2">
    <mergeCell ref="A1:D1"/>
    <mergeCell ref="A2:D2"/>
  </mergeCells>
  <pageMargins left="0.7" right="0.24"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I213"/>
  <sheetViews>
    <sheetView topLeftCell="A26" zoomScale="90" zoomScaleNormal="90" zoomScaleSheetLayoutView="75" workbookViewId="0">
      <selection sqref="A1:XFD1"/>
    </sheetView>
  </sheetViews>
  <sheetFormatPr defaultRowHeight="44.25" customHeight="1"/>
  <cols>
    <col min="1" max="1" width="5.28515625" style="116" bestFit="1" customWidth="1"/>
    <col min="2" max="2" width="9.5703125" style="116" customWidth="1"/>
    <col min="3" max="3" width="32.7109375" style="116" customWidth="1"/>
    <col min="4" max="4" width="94.140625" style="117" customWidth="1"/>
    <col min="5" max="5" width="26.85546875" style="112" customWidth="1"/>
    <col min="6" max="16384" width="9.140625" style="112"/>
  </cols>
  <sheetData>
    <row r="1" spans="1:9" ht="46.5" hidden="1" customHeight="1">
      <c r="A1" s="486" t="str">
        <f>"Приложение №"&amp;Н2адох&amp;"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86"/>
      <c r="C1" s="486"/>
      <c r="D1" s="486"/>
      <c r="E1" s="111"/>
    </row>
    <row r="2" spans="1:9" ht="44.25" customHeight="1">
      <c r="A2" s="486" t="str">
        <f>"Приложение "&amp;Н1адох&amp;" к решению
Богучанского районного Совета депутатов
от "&amp;Р1дата&amp;" года №"&amp;Р1номер</f>
        <v>Приложение  к решению
Богучанского районного Совета депутатов
от  года №</v>
      </c>
      <c r="B2" s="486"/>
      <c r="C2" s="486"/>
      <c r="D2" s="486"/>
      <c r="E2" s="111"/>
      <c r="F2" s="111"/>
      <c r="G2" s="111"/>
      <c r="H2" s="111"/>
      <c r="I2" s="111"/>
    </row>
    <row r="3" spans="1:9" ht="44.25" customHeight="1">
      <c r="A3" s="493" t="str">
        <f>"Главные администраторы доходов районного бюджета на "&amp;год&amp;" год и плановый период "&amp;ПлПер&amp;" годов"</f>
        <v>Главные администраторы доходов районного бюджета на 2022 год и плановый период 2023-2024 годов</v>
      </c>
      <c r="B3" s="493"/>
      <c r="C3" s="493"/>
      <c r="D3" s="493"/>
      <c r="E3" s="113"/>
      <c r="F3" s="113"/>
      <c r="G3" s="113"/>
      <c r="H3" s="113"/>
      <c r="I3" s="113"/>
    </row>
    <row r="4" spans="1:9" ht="53.25" customHeight="1">
      <c r="A4" s="115" t="s">
        <v>280</v>
      </c>
      <c r="B4" s="115" t="s">
        <v>281</v>
      </c>
      <c r="C4" s="115" t="s">
        <v>282</v>
      </c>
      <c r="D4" s="115" t="s">
        <v>283</v>
      </c>
    </row>
    <row r="5" spans="1:9" ht="44.25" customHeight="1">
      <c r="A5" s="494" t="s">
        <v>284</v>
      </c>
      <c r="B5" s="494"/>
      <c r="C5" s="494"/>
      <c r="D5" s="494"/>
    </row>
    <row r="6" spans="1:9" ht="44.25" customHeight="1">
      <c r="A6" s="360"/>
      <c r="B6" s="495" t="s">
        <v>321</v>
      </c>
      <c r="C6" s="496"/>
      <c r="D6" s="497"/>
    </row>
    <row r="7" spans="1:9" ht="44.25" customHeight="1">
      <c r="A7" s="115">
        <v>1</v>
      </c>
      <c r="B7" s="130">
        <v>801</v>
      </c>
      <c r="C7" s="129" t="s">
        <v>1467</v>
      </c>
      <c r="D7" s="135" t="s">
        <v>1468</v>
      </c>
    </row>
    <row r="8" spans="1:9" ht="44.25" customHeight="1">
      <c r="A8" s="115">
        <v>2</v>
      </c>
      <c r="B8" s="129" t="s">
        <v>178</v>
      </c>
      <c r="C8" s="133" t="s">
        <v>299</v>
      </c>
      <c r="D8" s="131" t="s">
        <v>300</v>
      </c>
    </row>
    <row r="9" spans="1:9" ht="44.25" customHeight="1">
      <c r="A9" s="115">
        <v>3</v>
      </c>
      <c r="B9" s="129" t="s">
        <v>178</v>
      </c>
      <c r="C9" s="130" t="s">
        <v>301</v>
      </c>
      <c r="D9" s="131" t="s">
        <v>302</v>
      </c>
    </row>
    <row r="10" spans="1:9" ht="44.25" customHeight="1">
      <c r="A10" s="360"/>
      <c r="B10" s="495" t="s">
        <v>1524</v>
      </c>
      <c r="C10" s="496"/>
      <c r="D10" s="497"/>
    </row>
    <row r="11" spans="1:9" ht="44.25" customHeight="1">
      <c r="A11" s="115">
        <v>4</v>
      </c>
      <c r="B11" s="130">
        <v>802</v>
      </c>
      <c r="C11" s="129" t="s">
        <v>1467</v>
      </c>
      <c r="D11" s="135" t="s">
        <v>1468</v>
      </c>
    </row>
    <row r="12" spans="1:9" ht="44.25" customHeight="1">
      <c r="A12" s="115">
        <v>5</v>
      </c>
      <c r="B12" s="130">
        <v>802</v>
      </c>
      <c r="C12" s="133" t="s">
        <v>299</v>
      </c>
      <c r="D12" s="131" t="s">
        <v>300</v>
      </c>
    </row>
    <row r="13" spans="1:9" ht="44.25" customHeight="1">
      <c r="A13" s="115">
        <v>6</v>
      </c>
      <c r="B13" s="130">
        <v>802</v>
      </c>
      <c r="C13" s="130" t="s">
        <v>1411</v>
      </c>
      <c r="D13" s="131" t="s">
        <v>317</v>
      </c>
    </row>
    <row r="14" spans="1:9" ht="44.25" customHeight="1">
      <c r="A14" s="115"/>
      <c r="B14" s="490" t="s">
        <v>1238</v>
      </c>
      <c r="C14" s="491"/>
      <c r="D14" s="492"/>
    </row>
    <row r="15" spans="1:9" ht="44.25" customHeight="1">
      <c r="A15" s="115">
        <v>7</v>
      </c>
      <c r="B15" s="133">
        <v>806</v>
      </c>
      <c r="C15" s="133" t="s">
        <v>303</v>
      </c>
      <c r="D15" s="131" t="s">
        <v>1115</v>
      </c>
    </row>
    <row r="16" spans="1:9" ht="44.25" customHeight="1">
      <c r="A16" s="115">
        <v>8</v>
      </c>
      <c r="B16" s="129" t="s">
        <v>5</v>
      </c>
      <c r="C16" s="130" t="s">
        <v>310</v>
      </c>
      <c r="D16" s="134" t="s">
        <v>200</v>
      </c>
    </row>
    <row r="17" spans="1:4" ht="44.25" customHeight="1">
      <c r="A17" s="115">
        <v>9</v>
      </c>
      <c r="B17" s="129" t="s">
        <v>5</v>
      </c>
      <c r="C17" s="129" t="s">
        <v>1832</v>
      </c>
      <c r="D17" s="135" t="s">
        <v>1833</v>
      </c>
    </row>
    <row r="18" spans="1:4" ht="44.25" customHeight="1">
      <c r="A18" s="115">
        <v>10</v>
      </c>
      <c r="B18" s="129" t="s">
        <v>5</v>
      </c>
      <c r="C18" s="129" t="s">
        <v>315</v>
      </c>
      <c r="D18" s="135" t="s">
        <v>316</v>
      </c>
    </row>
    <row r="19" spans="1:4" ht="44.25" customHeight="1">
      <c r="A19" s="115">
        <v>11</v>
      </c>
      <c r="B19" s="130">
        <v>806</v>
      </c>
      <c r="C19" s="129" t="s">
        <v>1467</v>
      </c>
      <c r="D19" s="135" t="s">
        <v>1468</v>
      </c>
    </row>
    <row r="20" spans="1:4" ht="44.25" customHeight="1">
      <c r="A20" s="115">
        <v>12</v>
      </c>
      <c r="B20" s="129" t="s">
        <v>5</v>
      </c>
      <c r="C20" s="130" t="s">
        <v>1412</v>
      </c>
      <c r="D20" s="136" t="s">
        <v>1413</v>
      </c>
    </row>
    <row r="21" spans="1:4" ht="44.25" customHeight="1">
      <c r="A21" s="115">
        <v>13</v>
      </c>
      <c r="B21" s="129" t="s">
        <v>5</v>
      </c>
      <c r="C21" s="130" t="s">
        <v>1424</v>
      </c>
      <c r="D21" s="136" t="s">
        <v>1423</v>
      </c>
    </row>
    <row r="22" spans="1:4" ht="44.25" customHeight="1">
      <c r="A22" s="115">
        <v>14</v>
      </c>
      <c r="B22" s="129" t="s">
        <v>5</v>
      </c>
      <c r="C22" s="130" t="s">
        <v>1414</v>
      </c>
      <c r="D22" s="132" t="s">
        <v>1426</v>
      </c>
    </row>
    <row r="23" spans="1:4" ht="44.25" customHeight="1">
      <c r="A23" s="115">
        <v>15</v>
      </c>
      <c r="B23" s="129" t="s">
        <v>5</v>
      </c>
      <c r="C23" s="130" t="s">
        <v>1425</v>
      </c>
      <c r="D23" s="134" t="s">
        <v>1393</v>
      </c>
    </row>
    <row r="24" spans="1:4" ht="44.25" customHeight="1">
      <c r="A24" s="115">
        <v>16</v>
      </c>
      <c r="B24" s="129" t="s">
        <v>5</v>
      </c>
      <c r="C24" s="130" t="s">
        <v>1491</v>
      </c>
      <c r="D24" s="281" t="s">
        <v>1416</v>
      </c>
    </row>
    <row r="25" spans="1:4" ht="44.25" customHeight="1">
      <c r="A25" s="115">
        <v>17</v>
      </c>
      <c r="B25" s="129" t="s">
        <v>5</v>
      </c>
      <c r="C25" s="130" t="s">
        <v>1492</v>
      </c>
      <c r="D25" s="281" t="s">
        <v>1493</v>
      </c>
    </row>
    <row r="26" spans="1:4" ht="44.25" customHeight="1">
      <c r="A26" s="115">
        <v>18</v>
      </c>
      <c r="B26" s="129" t="s">
        <v>5</v>
      </c>
      <c r="C26" s="130" t="s">
        <v>1490</v>
      </c>
      <c r="D26" s="134" t="s">
        <v>1397</v>
      </c>
    </row>
    <row r="27" spans="1:4" ht="44.25" customHeight="1">
      <c r="A27" s="115">
        <v>19</v>
      </c>
      <c r="B27" s="129" t="s">
        <v>5</v>
      </c>
      <c r="C27" s="133" t="s">
        <v>299</v>
      </c>
      <c r="D27" s="131" t="s">
        <v>300</v>
      </c>
    </row>
    <row r="28" spans="1:4" ht="44.25" customHeight="1">
      <c r="A28" s="115">
        <v>20</v>
      </c>
      <c r="B28" s="129" t="s">
        <v>5</v>
      </c>
      <c r="C28" s="130" t="s">
        <v>307</v>
      </c>
      <c r="D28" s="134" t="s">
        <v>1116</v>
      </c>
    </row>
    <row r="29" spans="1:4" ht="44.25" customHeight="1">
      <c r="A29" s="115">
        <v>21</v>
      </c>
      <c r="B29" s="129" t="s">
        <v>5</v>
      </c>
      <c r="C29" s="130" t="s">
        <v>1417</v>
      </c>
      <c r="D29" s="134" t="s">
        <v>1526</v>
      </c>
    </row>
    <row r="30" spans="1:4" ht="44.25" customHeight="1">
      <c r="A30" s="115">
        <v>22</v>
      </c>
      <c r="B30" s="129" t="s">
        <v>5</v>
      </c>
      <c r="C30" s="133" t="s">
        <v>1419</v>
      </c>
      <c r="D30" s="134" t="s">
        <v>1527</v>
      </c>
    </row>
    <row r="31" spans="1:4" ht="44.25" customHeight="1">
      <c r="A31" s="115">
        <v>23</v>
      </c>
      <c r="B31" s="129" t="s">
        <v>5</v>
      </c>
      <c r="C31" s="133" t="s">
        <v>1420</v>
      </c>
      <c r="D31" s="131" t="s">
        <v>1528</v>
      </c>
    </row>
    <row r="32" spans="1:4" ht="44.25" customHeight="1">
      <c r="A32" s="115">
        <v>24</v>
      </c>
      <c r="B32" s="129" t="s">
        <v>5</v>
      </c>
      <c r="C32" s="133" t="s">
        <v>1421</v>
      </c>
      <c r="D32" s="131" t="s">
        <v>1529</v>
      </c>
    </row>
    <row r="33" spans="1:4" ht="44.25" customHeight="1">
      <c r="A33" s="115"/>
      <c r="B33" s="490" t="s">
        <v>1062</v>
      </c>
      <c r="C33" s="491"/>
      <c r="D33" s="491"/>
    </row>
    <row r="34" spans="1:4" ht="44.25" customHeight="1">
      <c r="A34" s="115">
        <v>25</v>
      </c>
      <c r="B34" s="130">
        <v>810</v>
      </c>
      <c r="C34" s="129" t="s">
        <v>1467</v>
      </c>
      <c r="D34" s="135" t="s">
        <v>1468</v>
      </c>
    </row>
    <row r="35" spans="1:4" ht="44.25" customHeight="1">
      <c r="A35" s="115">
        <v>26</v>
      </c>
      <c r="B35" s="129" t="s">
        <v>354</v>
      </c>
      <c r="C35" s="133" t="s">
        <v>299</v>
      </c>
      <c r="D35" s="131" t="s">
        <v>300</v>
      </c>
    </row>
    <row r="36" spans="1:4" ht="44.25" customHeight="1">
      <c r="A36" s="115">
        <v>27</v>
      </c>
      <c r="B36" s="129" t="s">
        <v>354</v>
      </c>
      <c r="C36" s="130" t="s">
        <v>301</v>
      </c>
      <c r="D36" s="131" t="s">
        <v>302</v>
      </c>
    </row>
    <row r="37" spans="1:4" ht="44.25" customHeight="1">
      <c r="A37" s="115"/>
      <c r="B37" s="495" t="s">
        <v>253</v>
      </c>
      <c r="C37" s="496"/>
      <c r="D37" s="497"/>
    </row>
    <row r="38" spans="1:4" ht="44.25" customHeight="1">
      <c r="A38" s="115">
        <v>28</v>
      </c>
      <c r="B38" s="130">
        <v>830</v>
      </c>
      <c r="C38" s="129" t="s">
        <v>1798</v>
      </c>
      <c r="D38" s="135" t="s">
        <v>1799</v>
      </c>
    </row>
    <row r="39" spans="1:4" ht="44.25" customHeight="1">
      <c r="A39" s="115">
        <v>29</v>
      </c>
      <c r="B39" s="130">
        <v>830</v>
      </c>
      <c r="C39" s="129" t="s">
        <v>1467</v>
      </c>
      <c r="D39" s="135" t="s">
        <v>1468</v>
      </c>
    </row>
    <row r="40" spans="1:4" ht="44.25" customHeight="1">
      <c r="A40" s="115">
        <v>30</v>
      </c>
      <c r="B40" s="130">
        <v>830</v>
      </c>
      <c r="C40" s="129" t="s">
        <v>1775</v>
      </c>
      <c r="D40" s="135" t="s">
        <v>1774</v>
      </c>
    </row>
    <row r="41" spans="1:4" ht="44.25" customHeight="1">
      <c r="A41" s="115">
        <v>31</v>
      </c>
      <c r="B41" s="129" t="s">
        <v>201</v>
      </c>
      <c r="C41" s="133" t="s">
        <v>1415</v>
      </c>
      <c r="D41" s="132" t="s">
        <v>1416</v>
      </c>
    </row>
    <row r="42" spans="1:4" ht="44.25" customHeight="1">
      <c r="A42" s="115">
        <v>32</v>
      </c>
      <c r="B42" s="129" t="s">
        <v>201</v>
      </c>
      <c r="C42" s="133" t="s">
        <v>1414</v>
      </c>
      <c r="D42" s="132" t="s">
        <v>1426</v>
      </c>
    </row>
    <row r="43" spans="1:4" ht="44.25" customHeight="1">
      <c r="A43" s="115">
        <v>33</v>
      </c>
      <c r="B43" s="129" t="s">
        <v>201</v>
      </c>
      <c r="C43" s="133" t="s">
        <v>299</v>
      </c>
      <c r="D43" s="131" t="s">
        <v>300</v>
      </c>
    </row>
    <row r="44" spans="1:4" ht="44.25" customHeight="1">
      <c r="A44" s="115">
        <v>34</v>
      </c>
      <c r="B44" s="129" t="s">
        <v>201</v>
      </c>
      <c r="C44" s="130" t="s">
        <v>301</v>
      </c>
      <c r="D44" s="131" t="s">
        <v>302</v>
      </c>
    </row>
    <row r="45" spans="1:4" ht="68.25" customHeight="1">
      <c r="A45" s="115">
        <v>35</v>
      </c>
      <c r="B45" s="129" t="s">
        <v>201</v>
      </c>
      <c r="C45" s="130" t="s">
        <v>1796</v>
      </c>
      <c r="D45" s="131" t="s">
        <v>1797</v>
      </c>
    </row>
    <row r="46" spans="1:4" ht="68.25" customHeight="1">
      <c r="A46" s="115">
        <v>36</v>
      </c>
      <c r="B46" s="129" t="s">
        <v>201</v>
      </c>
      <c r="C46" s="133" t="s">
        <v>1419</v>
      </c>
      <c r="D46" s="131" t="s">
        <v>1527</v>
      </c>
    </row>
    <row r="47" spans="1:4" ht="44.25" customHeight="1">
      <c r="A47" s="115"/>
      <c r="B47" s="490" t="s">
        <v>1348</v>
      </c>
      <c r="C47" s="491"/>
      <c r="D47" s="492"/>
    </row>
    <row r="48" spans="1:4" ht="44.25" customHeight="1">
      <c r="A48" s="115">
        <v>37</v>
      </c>
      <c r="B48" s="130">
        <v>856</v>
      </c>
      <c r="C48" s="129" t="s">
        <v>1467</v>
      </c>
      <c r="D48" s="135" t="s">
        <v>1468</v>
      </c>
    </row>
    <row r="49" spans="1:4" ht="44.25" customHeight="1">
      <c r="A49" s="115">
        <v>38</v>
      </c>
      <c r="B49" s="129" t="s">
        <v>230</v>
      </c>
      <c r="C49" s="133" t="s">
        <v>299</v>
      </c>
      <c r="D49" s="131" t="s">
        <v>300</v>
      </c>
    </row>
    <row r="50" spans="1:4" ht="44.25" customHeight="1">
      <c r="A50" s="115">
        <v>39</v>
      </c>
      <c r="B50" s="129" t="s">
        <v>230</v>
      </c>
      <c r="C50" s="130" t="s">
        <v>307</v>
      </c>
      <c r="D50" s="131" t="s">
        <v>1116</v>
      </c>
    </row>
    <row r="51" spans="1:4" ht="44.25" customHeight="1">
      <c r="A51" s="115">
        <v>40</v>
      </c>
      <c r="B51" s="129" t="s">
        <v>230</v>
      </c>
      <c r="C51" s="133" t="s">
        <v>1433</v>
      </c>
      <c r="D51" s="131" t="s">
        <v>1530</v>
      </c>
    </row>
    <row r="52" spans="1:4" ht="44.25" customHeight="1">
      <c r="A52" s="115">
        <v>41</v>
      </c>
      <c r="B52" s="129" t="s">
        <v>230</v>
      </c>
      <c r="C52" s="133" t="s">
        <v>1455</v>
      </c>
      <c r="D52" s="131" t="s">
        <v>1531</v>
      </c>
    </row>
    <row r="53" spans="1:4" s="114" customFormat="1" ht="44.25" customHeight="1">
      <c r="A53" s="115"/>
      <c r="B53" s="490" t="s">
        <v>1237</v>
      </c>
      <c r="C53" s="491"/>
      <c r="D53" s="492"/>
    </row>
    <row r="54" spans="1:4" ht="75">
      <c r="A54" s="115">
        <v>42</v>
      </c>
      <c r="B54" s="129" t="s">
        <v>66</v>
      </c>
      <c r="C54" s="130" t="s">
        <v>285</v>
      </c>
      <c r="D54" s="131" t="s">
        <v>1532</v>
      </c>
    </row>
    <row r="55" spans="1:4" ht="75">
      <c r="A55" s="115">
        <v>43</v>
      </c>
      <c r="B55" s="129" t="s">
        <v>66</v>
      </c>
      <c r="C55" s="130" t="s">
        <v>286</v>
      </c>
      <c r="D55" s="131" t="s">
        <v>1533</v>
      </c>
    </row>
    <row r="56" spans="1:4" ht="75">
      <c r="A56" s="115">
        <v>44</v>
      </c>
      <c r="B56" s="129" t="s">
        <v>66</v>
      </c>
      <c r="C56" s="130" t="s">
        <v>287</v>
      </c>
      <c r="D56" s="131" t="s">
        <v>1534</v>
      </c>
    </row>
    <row r="57" spans="1:4" ht="60">
      <c r="A57" s="115">
        <v>45</v>
      </c>
      <c r="B57" s="129" t="s">
        <v>66</v>
      </c>
      <c r="C57" s="130" t="s">
        <v>288</v>
      </c>
      <c r="D57" s="131" t="s">
        <v>1535</v>
      </c>
    </row>
    <row r="58" spans="1:4" ht="60">
      <c r="A58" s="115">
        <v>46</v>
      </c>
      <c r="B58" s="129" t="s">
        <v>66</v>
      </c>
      <c r="C58" s="130" t="s">
        <v>289</v>
      </c>
      <c r="D58" s="131" t="s">
        <v>1536</v>
      </c>
    </row>
    <row r="59" spans="1:4" ht="60">
      <c r="A59" s="115">
        <v>47</v>
      </c>
      <c r="B59" s="129" t="s">
        <v>66</v>
      </c>
      <c r="C59" s="130" t="s">
        <v>290</v>
      </c>
      <c r="D59" s="131" t="s">
        <v>1537</v>
      </c>
    </row>
    <row r="60" spans="1:4" ht="60">
      <c r="A60" s="115">
        <v>48</v>
      </c>
      <c r="B60" s="133">
        <v>863</v>
      </c>
      <c r="C60" s="130" t="s">
        <v>291</v>
      </c>
      <c r="D60" s="131" t="s">
        <v>1538</v>
      </c>
    </row>
    <row r="61" spans="1:4" ht="45">
      <c r="A61" s="115">
        <v>49</v>
      </c>
      <c r="B61" s="133">
        <v>863</v>
      </c>
      <c r="C61" s="130" t="s">
        <v>292</v>
      </c>
      <c r="D61" s="131" t="s">
        <v>1539</v>
      </c>
    </row>
    <row r="62" spans="1:4" ht="45">
      <c r="A62" s="115">
        <v>50</v>
      </c>
      <c r="B62" s="133">
        <v>863</v>
      </c>
      <c r="C62" s="130" t="s">
        <v>293</v>
      </c>
      <c r="D62" s="131" t="s">
        <v>1540</v>
      </c>
    </row>
    <row r="63" spans="1:4" ht="60">
      <c r="A63" s="115">
        <v>51</v>
      </c>
      <c r="B63" s="133">
        <v>863</v>
      </c>
      <c r="C63" s="130" t="s">
        <v>294</v>
      </c>
      <c r="D63" s="131" t="s">
        <v>1541</v>
      </c>
    </row>
    <row r="64" spans="1:4" ht="45">
      <c r="A64" s="115">
        <v>52</v>
      </c>
      <c r="B64" s="133">
        <v>863</v>
      </c>
      <c r="C64" s="130" t="s">
        <v>295</v>
      </c>
      <c r="D64" s="131" t="s">
        <v>1542</v>
      </c>
    </row>
    <row r="65" spans="1:4" ht="45">
      <c r="A65" s="115">
        <v>53</v>
      </c>
      <c r="B65" s="133">
        <v>863</v>
      </c>
      <c r="C65" s="130" t="s">
        <v>547</v>
      </c>
      <c r="D65" s="131" t="s">
        <v>1543</v>
      </c>
    </row>
    <row r="66" spans="1:4" s="114" customFormat="1" ht="44.25" customHeight="1">
      <c r="A66" s="115">
        <v>54</v>
      </c>
      <c r="B66" s="133">
        <v>863</v>
      </c>
      <c r="C66" s="130" t="s">
        <v>548</v>
      </c>
      <c r="D66" s="134" t="s">
        <v>549</v>
      </c>
    </row>
    <row r="67" spans="1:4" s="114" customFormat="1" ht="44.25" customHeight="1">
      <c r="A67" s="115">
        <v>55</v>
      </c>
      <c r="B67" s="130">
        <v>863</v>
      </c>
      <c r="C67" s="129" t="s">
        <v>1467</v>
      </c>
      <c r="D67" s="135" t="s">
        <v>1468</v>
      </c>
    </row>
    <row r="68" spans="1:4" ht="44.25" customHeight="1">
      <c r="A68" s="115">
        <v>56</v>
      </c>
      <c r="B68" s="133">
        <v>863</v>
      </c>
      <c r="C68" s="133" t="s">
        <v>550</v>
      </c>
      <c r="D68" s="131" t="s">
        <v>551</v>
      </c>
    </row>
    <row r="69" spans="1:4" s="114" customFormat="1" ht="75">
      <c r="A69" s="115">
        <v>57</v>
      </c>
      <c r="B69" s="133">
        <v>863</v>
      </c>
      <c r="C69" s="130" t="s">
        <v>1246</v>
      </c>
      <c r="D69" s="131" t="s">
        <v>1544</v>
      </c>
    </row>
    <row r="70" spans="1:4" ht="75">
      <c r="A70" s="115">
        <v>58</v>
      </c>
      <c r="B70" s="133">
        <v>863</v>
      </c>
      <c r="C70" s="130" t="s">
        <v>297</v>
      </c>
      <c r="D70" s="131" t="s">
        <v>1545</v>
      </c>
    </row>
    <row r="71" spans="1:4" s="114" customFormat="1" ht="45">
      <c r="A71" s="115">
        <v>59</v>
      </c>
      <c r="B71" s="133">
        <v>863</v>
      </c>
      <c r="C71" s="130" t="s">
        <v>298</v>
      </c>
      <c r="D71" s="131" t="s">
        <v>1546</v>
      </c>
    </row>
    <row r="72" spans="1:4" ht="45">
      <c r="A72" s="115">
        <v>60</v>
      </c>
      <c r="B72" s="133">
        <v>863</v>
      </c>
      <c r="C72" s="130" t="s">
        <v>552</v>
      </c>
      <c r="D72" s="131" t="s">
        <v>1547</v>
      </c>
    </row>
    <row r="73" spans="1:4" ht="44.25" customHeight="1">
      <c r="A73" s="115">
        <v>61</v>
      </c>
      <c r="B73" s="133">
        <v>863</v>
      </c>
      <c r="C73" s="130" t="s">
        <v>1425</v>
      </c>
      <c r="D73" s="134" t="s">
        <v>1393</v>
      </c>
    </row>
    <row r="74" spans="1:4" ht="44.25" customHeight="1">
      <c r="A74" s="115">
        <v>62</v>
      </c>
      <c r="B74" s="133">
        <v>863</v>
      </c>
      <c r="C74" s="133" t="s">
        <v>299</v>
      </c>
      <c r="D74" s="131" t="s">
        <v>300</v>
      </c>
    </row>
    <row r="75" spans="1:4" ht="44.25" customHeight="1">
      <c r="A75" s="115">
        <v>63</v>
      </c>
      <c r="B75" s="133">
        <v>863</v>
      </c>
      <c r="C75" s="133" t="s">
        <v>301</v>
      </c>
      <c r="D75" s="131" t="s">
        <v>302</v>
      </c>
    </row>
    <row r="76" spans="1:4" ht="44.25" customHeight="1">
      <c r="A76" s="115">
        <v>64</v>
      </c>
      <c r="B76" s="133">
        <v>863</v>
      </c>
      <c r="C76" s="133" t="s">
        <v>1419</v>
      </c>
      <c r="D76" s="131" t="s">
        <v>1527</v>
      </c>
    </row>
    <row r="77" spans="1:4" ht="44.25" customHeight="1">
      <c r="A77" s="115">
        <v>65</v>
      </c>
      <c r="B77" s="133">
        <v>863</v>
      </c>
      <c r="C77" s="133" t="s">
        <v>1422</v>
      </c>
      <c r="D77" s="131" t="s">
        <v>1548</v>
      </c>
    </row>
    <row r="78" spans="1:4" ht="44.25" customHeight="1">
      <c r="A78" s="115"/>
      <c r="B78" s="490" t="s">
        <v>1236</v>
      </c>
      <c r="C78" s="491"/>
      <c r="D78" s="492"/>
    </row>
    <row r="79" spans="1:4" ht="44.25" customHeight="1">
      <c r="A79" s="115">
        <v>66</v>
      </c>
      <c r="B79" s="129" t="s">
        <v>207</v>
      </c>
      <c r="C79" s="129" t="s">
        <v>305</v>
      </c>
      <c r="D79" s="135" t="s">
        <v>306</v>
      </c>
    </row>
    <row r="80" spans="1:4" ht="44.25" customHeight="1">
      <c r="A80" s="115">
        <v>67</v>
      </c>
      <c r="B80" s="129" t="s">
        <v>207</v>
      </c>
      <c r="C80" s="129" t="s">
        <v>311</v>
      </c>
      <c r="D80" s="135" t="s">
        <v>312</v>
      </c>
    </row>
    <row r="81" spans="1:4" ht="44.25" customHeight="1">
      <c r="A81" s="115">
        <v>68</v>
      </c>
      <c r="B81" s="129" t="s">
        <v>207</v>
      </c>
      <c r="C81" s="129" t="s">
        <v>313</v>
      </c>
      <c r="D81" s="135" t="s">
        <v>314</v>
      </c>
    </row>
    <row r="82" spans="1:4" ht="44.25" customHeight="1">
      <c r="A82" s="115">
        <v>69</v>
      </c>
      <c r="B82" s="129" t="s">
        <v>207</v>
      </c>
      <c r="C82" s="129" t="s">
        <v>315</v>
      </c>
      <c r="D82" s="135" t="s">
        <v>316</v>
      </c>
    </row>
    <row r="83" spans="1:4" ht="44.25" customHeight="1">
      <c r="A83" s="115">
        <v>70</v>
      </c>
      <c r="B83" s="129" t="s">
        <v>207</v>
      </c>
      <c r="C83" s="129" t="s">
        <v>1240</v>
      </c>
      <c r="D83" s="135" t="s">
        <v>1222</v>
      </c>
    </row>
    <row r="84" spans="1:4" ht="44.25" customHeight="1">
      <c r="A84" s="115">
        <v>71</v>
      </c>
      <c r="B84" s="130">
        <v>875</v>
      </c>
      <c r="C84" s="129" t="s">
        <v>1467</v>
      </c>
      <c r="D84" s="135" t="s">
        <v>1468</v>
      </c>
    </row>
    <row r="85" spans="1:4" ht="50.25" customHeight="1">
      <c r="A85" s="115">
        <v>72</v>
      </c>
      <c r="B85" s="130">
        <v>875</v>
      </c>
      <c r="C85" s="130" t="s">
        <v>1414</v>
      </c>
      <c r="D85" s="132" t="s">
        <v>1426</v>
      </c>
    </row>
    <row r="86" spans="1:4" ht="44.25" customHeight="1">
      <c r="A86" s="115">
        <v>73</v>
      </c>
      <c r="B86" s="129" t="s">
        <v>207</v>
      </c>
      <c r="C86" s="130" t="s">
        <v>1424</v>
      </c>
      <c r="D86" s="79" t="s">
        <v>1423</v>
      </c>
    </row>
    <row r="87" spans="1:4" ht="44.25" customHeight="1">
      <c r="A87" s="115">
        <v>74</v>
      </c>
      <c r="B87" s="129" t="s">
        <v>207</v>
      </c>
      <c r="C87" s="133" t="s">
        <v>299</v>
      </c>
      <c r="D87" s="131" t="s">
        <v>300</v>
      </c>
    </row>
    <row r="88" spans="1:4" ht="44.25" customHeight="1">
      <c r="A88" s="115">
        <v>75</v>
      </c>
      <c r="B88" s="129" t="s">
        <v>207</v>
      </c>
      <c r="C88" s="130" t="s">
        <v>307</v>
      </c>
      <c r="D88" s="131" t="s">
        <v>1117</v>
      </c>
    </row>
    <row r="89" spans="1:4" ht="60">
      <c r="A89" s="115">
        <v>76</v>
      </c>
      <c r="B89" s="129" t="s">
        <v>207</v>
      </c>
      <c r="C89" s="130" t="s">
        <v>1417</v>
      </c>
      <c r="D89" s="134" t="s">
        <v>1526</v>
      </c>
    </row>
    <row r="90" spans="1:4" ht="44.25" customHeight="1">
      <c r="A90" s="115">
        <v>77</v>
      </c>
      <c r="B90" s="129" t="s">
        <v>207</v>
      </c>
      <c r="C90" s="133" t="s">
        <v>1418</v>
      </c>
      <c r="D90" s="131" t="s">
        <v>553</v>
      </c>
    </row>
    <row r="91" spans="1:4" ht="44.25" customHeight="1">
      <c r="A91" s="115">
        <v>78</v>
      </c>
      <c r="B91" s="129" t="s">
        <v>207</v>
      </c>
      <c r="C91" s="133" t="s">
        <v>1431</v>
      </c>
      <c r="D91" s="131" t="s">
        <v>308</v>
      </c>
    </row>
    <row r="92" spans="1:4" ht="44.25" customHeight="1">
      <c r="A92" s="115">
        <v>79</v>
      </c>
      <c r="B92" s="129" t="s">
        <v>207</v>
      </c>
      <c r="C92" s="133" t="s">
        <v>1432</v>
      </c>
      <c r="D92" s="131" t="s">
        <v>309</v>
      </c>
    </row>
    <row r="93" spans="1:4" ht="44.25" customHeight="1">
      <c r="A93" s="115">
        <v>80</v>
      </c>
      <c r="B93" s="129" t="s">
        <v>207</v>
      </c>
      <c r="C93" s="130" t="s">
        <v>1427</v>
      </c>
      <c r="D93" s="131" t="s">
        <v>1549</v>
      </c>
    </row>
    <row r="94" spans="1:4" ht="44.25" customHeight="1">
      <c r="A94" s="115">
        <v>81</v>
      </c>
      <c r="B94" s="129" t="s">
        <v>207</v>
      </c>
      <c r="C94" s="130" t="s">
        <v>1428</v>
      </c>
      <c r="D94" s="131" t="s">
        <v>1550</v>
      </c>
    </row>
    <row r="95" spans="1:4" ht="44.25" customHeight="1">
      <c r="A95" s="115">
        <v>82</v>
      </c>
      <c r="B95" s="129" t="s">
        <v>207</v>
      </c>
      <c r="C95" s="130" t="s">
        <v>1429</v>
      </c>
      <c r="D95" s="131" t="s">
        <v>1551</v>
      </c>
    </row>
    <row r="96" spans="1:4" ht="44.25" customHeight="1">
      <c r="A96" s="115">
        <v>83</v>
      </c>
      <c r="B96" s="129" t="s">
        <v>207</v>
      </c>
      <c r="C96" s="130" t="s">
        <v>1430</v>
      </c>
      <c r="D96" s="131" t="s">
        <v>1552</v>
      </c>
    </row>
    <row r="97" spans="1:4" ht="30">
      <c r="A97" s="115">
        <v>84</v>
      </c>
      <c r="B97" s="143" t="s">
        <v>207</v>
      </c>
      <c r="C97" s="133" t="s">
        <v>1433</v>
      </c>
      <c r="D97" s="131" t="s">
        <v>1530</v>
      </c>
    </row>
    <row r="98" spans="1:4" ht="45">
      <c r="A98" s="115">
        <v>85</v>
      </c>
      <c r="B98" s="143" t="s">
        <v>207</v>
      </c>
      <c r="C98" s="133" t="s">
        <v>1434</v>
      </c>
      <c r="D98" s="131" t="s">
        <v>1118</v>
      </c>
    </row>
    <row r="99" spans="1:4" ht="15.75">
      <c r="A99" s="115"/>
      <c r="B99" s="487" t="s">
        <v>1525</v>
      </c>
      <c r="C99" s="488"/>
      <c r="D99" s="489"/>
    </row>
    <row r="100" spans="1:4" ht="30">
      <c r="A100" s="115">
        <v>86</v>
      </c>
      <c r="B100" s="130">
        <v>880</v>
      </c>
      <c r="C100" s="129" t="s">
        <v>304</v>
      </c>
      <c r="D100" s="135" t="s">
        <v>1112</v>
      </c>
    </row>
    <row r="101" spans="1:4" ht="30">
      <c r="A101" s="115">
        <v>87</v>
      </c>
      <c r="B101" s="130">
        <v>880</v>
      </c>
      <c r="C101" s="129" t="s">
        <v>1467</v>
      </c>
      <c r="D101" s="135" t="s">
        <v>1468</v>
      </c>
    </row>
    <row r="102" spans="1:4" ht="60">
      <c r="A102" s="115"/>
      <c r="B102" s="361">
        <v>880</v>
      </c>
      <c r="C102" s="361" t="s">
        <v>1414</v>
      </c>
      <c r="D102" s="362" t="s">
        <v>1426</v>
      </c>
    </row>
    <row r="103" spans="1:4" ht="15">
      <c r="A103" s="115">
        <v>88</v>
      </c>
      <c r="B103" s="130">
        <v>880</v>
      </c>
      <c r="C103" s="133" t="s">
        <v>299</v>
      </c>
      <c r="D103" s="131" t="s">
        <v>300</v>
      </c>
    </row>
    <row r="104" spans="1:4" ht="15">
      <c r="A104" s="115">
        <v>89</v>
      </c>
      <c r="B104" s="130">
        <v>880</v>
      </c>
      <c r="C104" s="130" t="s">
        <v>301</v>
      </c>
      <c r="D104" s="131" t="s">
        <v>302</v>
      </c>
    </row>
    <row r="105" spans="1:4" ht="45">
      <c r="A105" s="115">
        <v>90</v>
      </c>
      <c r="B105" s="210">
        <v>880</v>
      </c>
      <c r="C105" s="210" t="s">
        <v>1420</v>
      </c>
      <c r="D105" s="131" t="s">
        <v>1528</v>
      </c>
    </row>
    <row r="106" spans="1:4" ht="15.75">
      <c r="A106" s="115"/>
      <c r="B106" s="490" t="s">
        <v>35</v>
      </c>
      <c r="C106" s="491"/>
      <c r="D106" s="492"/>
    </row>
    <row r="107" spans="1:4" ht="30">
      <c r="A107" s="115">
        <v>91</v>
      </c>
      <c r="B107" s="130">
        <v>890</v>
      </c>
      <c r="C107" s="129" t="s">
        <v>1494</v>
      </c>
      <c r="D107" s="135" t="s">
        <v>1834</v>
      </c>
    </row>
    <row r="108" spans="1:4" s="367" customFormat="1" ht="30">
      <c r="A108" s="363">
        <v>92</v>
      </c>
      <c r="B108" s="364">
        <v>890</v>
      </c>
      <c r="C108" s="365" t="s">
        <v>1467</v>
      </c>
      <c r="D108" s="366" t="s">
        <v>1468</v>
      </c>
    </row>
    <row r="109" spans="1:4" ht="45">
      <c r="A109" s="115">
        <v>93</v>
      </c>
      <c r="B109" s="129" t="s">
        <v>208</v>
      </c>
      <c r="C109" s="130" t="s">
        <v>1412</v>
      </c>
      <c r="D109" s="136" t="s">
        <v>1413</v>
      </c>
    </row>
    <row r="110" spans="1:4" ht="45">
      <c r="A110" s="115">
        <v>94</v>
      </c>
      <c r="B110" s="129" t="s">
        <v>208</v>
      </c>
      <c r="C110" s="130" t="s">
        <v>1411</v>
      </c>
      <c r="D110" s="131" t="s">
        <v>317</v>
      </c>
    </row>
    <row r="111" spans="1:4" ht="45">
      <c r="A111" s="115">
        <v>95</v>
      </c>
      <c r="B111" s="129" t="s">
        <v>208</v>
      </c>
      <c r="C111" s="130" t="s">
        <v>1435</v>
      </c>
      <c r="D111" s="131" t="s">
        <v>1436</v>
      </c>
    </row>
    <row r="112" spans="1:4" ht="15">
      <c r="A112" s="115">
        <v>96</v>
      </c>
      <c r="B112" s="129" t="s">
        <v>208</v>
      </c>
      <c r="C112" s="133" t="s">
        <v>299</v>
      </c>
      <c r="D112" s="131" t="s">
        <v>300</v>
      </c>
    </row>
    <row r="113" spans="1:4" s="367" customFormat="1" ht="30">
      <c r="A113" s="363">
        <v>97</v>
      </c>
      <c r="B113" s="365" t="s">
        <v>208</v>
      </c>
      <c r="C113" s="368" t="s">
        <v>307</v>
      </c>
      <c r="D113" s="369" t="s">
        <v>1119</v>
      </c>
    </row>
    <row r="114" spans="1:4" ht="31.5" customHeight="1">
      <c r="A114" s="115">
        <v>98</v>
      </c>
      <c r="B114" s="129" t="s">
        <v>208</v>
      </c>
      <c r="C114" s="130" t="s">
        <v>1447</v>
      </c>
      <c r="D114" s="131" t="s">
        <v>319</v>
      </c>
    </row>
    <row r="115" spans="1:4" ht="30">
      <c r="A115" s="115">
        <v>99</v>
      </c>
      <c r="B115" s="129" t="s">
        <v>208</v>
      </c>
      <c r="C115" s="130" t="s">
        <v>1255</v>
      </c>
      <c r="D115" s="132" t="s">
        <v>320</v>
      </c>
    </row>
    <row r="116" spans="1:4" ht="15">
      <c r="A116" s="115">
        <v>100</v>
      </c>
      <c r="B116" s="129" t="s">
        <v>208</v>
      </c>
      <c r="C116" s="130" t="s">
        <v>1448</v>
      </c>
      <c r="D116" s="132" t="s">
        <v>1449</v>
      </c>
    </row>
    <row r="117" spans="1:4" ht="45">
      <c r="A117" s="115">
        <v>101</v>
      </c>
      <c r="B117" s="129" t="s">
        <v>208</v>
      </c>
      <c r="C117" s="130" t="s">
        <v>1764</v>
      </c>
      <c r="D117" s="132" t="s">
        <v>1768</v>
      </c>
    </row>
    <row r="118" spans="1:4" ht="90">
      <c r="A118" s="115">
        <v>102</v>
      </c>
      <c r="B118" s="129" t="s">
        <v>208</v>
      </c>
      <c r="C118" s="130" t="s">
        <v>1256</v>
      </c>
      <c r="D118" s="132" t="s">
        <v>1450</v>
      </c>
    </row>
    <row r="119" spans="1:4" ht="60">
      <c r="A119" s="115">
        <v>103</v>
      </c>
      <c r="B119" s="129" t="s">
        <v>1053</v>
      </c>
      <c r="C119" s="130" t="s">
        <v>1257</v>
      </c>
      <c r="D119" s="132" t="s">
        <v>1451</v>
      </c>
    </row>
    <row r="120" spans="1:4" ht="45">
      <c r="A120" s="115">
        <v>104</v>
      </c>
      <c r="B120" s="129" t="s">
        <v>208</v>
      </c>
      <c r="C120" s="130" t="s">
        <v>1258</v>
      </c>
      <c r="D120" s="132" t="s">
        <v>1070</v>
      </c>
    </row>
    <row r="121" spans="1:4" ht="60">
      <c r="A121" s="115">
        <v>105</v>
      </c>
      <c r="B121" s="129" t="s">
        <v>208</v>
      </c>
      <c r="C121" s="130" t="s">
        <v>1488</v>
      </c>
      <c r="D121" s="132" t="s">
        <v>1759</v>
      </c>
    </row>
    <row r="122" spans="1:4" ht="75">
      <c r="A122" s="115">
        <v>106</v>
      </c>
      <c r="B122" s="129" t="s">
        <v>208</v>
      </c>
      <c r="C122" s="130" t="s">
        <v>1495</v>
      </c>
      <c r="D122" s="132" t="s">
        <v>1496</v>
      </c>
    </row>
    <row r="123" spans="1:4" ht="30">
      <c r="A123" s="115">
        <v>107</v>
      </c>
      <c r="B123" s="129" t="s">
        <v>208</v>
      </c>
      <c r="C123" s="130" t="s">
        <v>1437</v>
      </c>
      <c r="D123" s="132" t="s">
        <v>1452</v>
      </c>
    </row>
    <row r="124" spans="1:4" ht="38.25" customHeight="1">
      <c r="A124" s="115">
        <v>108</v>
      </c>
      <c r="B124" s="129" t="s">
        <v>208</v>
      </c>
      <c r="C124" s="130" t="s">
        <v>1756</v>
      </c>
      <c r="D124" s="132" t="s">
        <v>1757</v>
      </c>
    </row>
    <row r="125" spans="1:4" ht="59.25" customHeight="1">
      <c r="A125" s="115">
        <v>109</v>
      </c>
      <c r="B125" s="129" t="s">
        <v>208</v>
      </c>
      <c r="C125" s="130" t="s">
        <v>1652</v>
      </c>
      <c r="D125" s="132" t="s">
        <v>1653</v>
      </c>
    </row>
    <row r="126" spans="1:4" ht="45">
      <c r="A126" s="115">
        <v>110</v>
      </c>
      <c r="B126" s="129" t="s">
        <v>208</v>
      </c>
      <c r="C126" s="130" t="s">
        <v>1259</v>
      </c>
      <c r="D126" s="132" t="s">
        <v>1232</v>
      </c>
    </row>
    <row r="127" spans="1:4" ht="30">
      <c r="A127" s="115">
        <v>111</v>
      </c>
      <c r="B127" s="129" t="s">
        <v>208</v>
      </c>
      <c r="C127" s="130" t="s">
        <v>1260</v>
      </c>
      <c r="D127" s="164" t="s">
        <v>1453</v>
      </c>
    </row>
    <row r="128" spans="1:4" ht="30">
      <c r="A128" s="115">
        <v>112</v>
      </c>
      <c r="B128" s="129" t="s">
        <v>208</v>
      </c>
      <c r="C128" s="130" t="s">
        <v>1261</v>
      </c>
      <c r="D128" s="164" t="s">
        <v>1399</v>
      </c>
    </row>
    <row r="129" spans="1:4" ht="30">
      <c r="A129" s="115">
        <v>113</v>
      </c>
      <c r="B129" s="129" t="s">
        <v>208</v>
      </c>
      <c r="C129" s="130" t="s">
        <v>1438</v>
      </c>
      <c r="D129" s="164" t="s">
        <v>1454</v>
      </c>
    </row>
    <row r="130" spans="1:4" ht="60">
      <c r="A130" s="115">
        <v>114</v>
      </c>
      <c r="B130" s="129" t="s">
        <v>208</v>
      </c>
      <c r="C130" s="130" t="s">
        <v>1469</v>
      </c>
      <c r="D130" s="164" t="s">
        <v>1553</v>
      </c>
    </row>
    <row r="131" spans="1:4" ht="60">
      <c r="A131" s="115">
        <v>115</v>
      </c>
      <c r="B131" s="129" t="s">
        <v>208</v>
      </c>
      <c r="C131" s="130" t="s">
        <v>1262</v>
      </c>
      <c r="D131" s="132" t="s">
        <v>1554</v>
      </c>
    </row>
    <row r="132" spans="1:4" ht="45">
      <c r="A132" s="115">
        <v>116</v>
      </c>
      <c r="B132" s="129" t="s">
        <v>208</v>
      </c>
      <c r="C132" s="130" t="s">
        <v>1497</v>
      </c>
      <c r="D132" s="132" t="s">
        <v>1555</v>
      </c>
    </row>
    <row r="133" spans="1:4" ht="60">
      <c r="A133" s="115">
        <v>117</v>
      </c>
      <c r="B133" s="129" t="s">
        <v>208</v>
      </c>
      <c r="C133" s="130" t="s">
        <v>1489</v>
      </c>
      <c r="D133" s="350" t="s">
        <v>1800</v>
      </c>
    </row>
    <row r="134" spans="1:4" ht="30">
      <c r="A134" s="115">
        <v>118</v>
      </c>
      <c r="B134" s="129" t="s">
        <v>208</v>
      </c>
      <c r="C134" s="130" t="s">
        <v>1792</v>
      </c>
      <c r="D134" s="132" t="s">
        <v>1793</v>
      </c>
    </row>
    <row r="135" spans="1:4" ht="45.75" customHeight="1">
      <c r="A135" s="115">
        <v>119</v>
      </c>
      <c r="B135" s="129" t="s">
        <v>208</v>
      </c>
      <c r="C135" s="130" t="s">
        <v>1817</v>
      </c>
      <c r="D135" s="132" t="s">
        <v>1818</v>
      </c>
    </row>
    <row r="136" spans="1:4" ht="120">
      <c r="A136" s="115">
        <v>120</v>
      </c>
      <c r="B136" s="129" t="s">
        <v>208</v>
      </c>
      <c r="C136" s="130" t="s">
        <v>1263</v>
      </c>
      <c r="D136" s="132" t="s">
        <v>1556</v>
      </c>
    </row>
    <row r="137" spans="1:4" ht="30">
      <c r="A137" s="115">
        <v>121</v>
      </c>
      <c r="B137" s="129" t="s">
        <v>208</v>
      </c>
      <c r="C137" s="130" t="s">
        <v>1264</v>
      </c>
      <c r="D137" s="132" t="s">
        <v>1557</v>
      </c>
    </row>
    <row r="138" spans="1:4" ht="30">
      <c r="A138" s="115">
        <v>122</v>
      </c>
      <c r="B138" s="129" t="s">
        <v>208</v>
      </c>
      <c r="C138" s="130" t="s">
        <v>1265</v>
      </c>
      <c r="D138" s="132" t="s">
        <v>1558</v>
      </c>
    </row>
    <row r="139" spans="1:4" ht="45">
      <c r="A139" s="115">
        <v>123</v>
      </c>
      <c r="B139" s="129" t="s">
        <v>208</v>
      </c>
      <c r="C139" s="130" t="s">
        <v>1266</v>
      </c>
      <c r="D139" s="132" t="s">
        <v>1559</v>
      </c>
    </row>
    <row r="140" spans="1:4" ht="45">
      <c r="A140" s="115">
        <v>124</v>
      </c>
      <c r="B140" s="129" t="s">
        <v>208</v>
      </c>
      <c r="C140" s="130" t="s">
        <v>1625</v>
      </c>
      <c r="D140" s="132" t="s">
        <v>1626</v>
      </c>
    </row>
    <row r="141" spans="1:4" ht="45">
      <c r="A141" s="115">
        <v>125</v>
      </c>
      <c r="B141" s="129" t="s">
        <v>208</v>
      </c>
      <c r="C141" s="130" t="s">
        <v>1766</v>
      </c>
      <c r="D141" s="132" t="s">
        <v>1765</v>
      </c>
    </row>
    <row r="142" spans="1:4" ht="75">
      <c r="A142" s="115">
        <v>126</v>
      </c>
      <c r="B142" s="129" t="s">
        <v>208</v>
      </c>
      <c r="C142" s="130" t="s">
        <v>1439</v>
      </c>
      <c r="D142" s="132" t="s">
        <v>1560</v>
      </c>
    </row>
    <row r="143" spans="1:4" ht="60">
      <c r="A143" s="115">
        <v>127</v>
      </c>
      <c r="B143" s="129" t="s">
        <v>208</v>
      </c>
      <c r="C143" s="130" t="s">
        <v>1267</v>
      </c>
      <c r="D143" s="132" t="s">
        <v>1561</v>
      </c>
    </row>
    <row r="144" spans="1:4" ht="45">
      <c r="A144" s="115">
        <v>128</v>
      </c>
      <c r="B144" s="129" t="s">
        <v>208</v>
      </c>
      <c r="C144" s="130" t="s">
        <v>1499</v>
      </c>
      <c r="D144" s="132" t="s">
        <v>1562</v>
      </c>
    </row>
    <row r="145" spans="1:4" ht="45">
      <c r="A145" s="115">
        <v>129</v>
      </c>
      <c r="B145" s="129" t="s">
        <v>208</v>
      </c>
      <c r="C145" s="130" t="s">
        <v>1440</v>
      </c>
      <c r="D145" s="132" t="s">
        <v>1563</v>
      </c>
    </row>
    <row r="146" spans="1:4" ht="45">
      <c r="A146" s="115">
        <v>130</v>
      </c>
      <c r="B146" s="129" t="s">
        <v>208</v>
      </c>
      <c r="C146" s="129" t="s">
        <v>1268</v>
      </c>
      <c r="D146" s="137" t="s">
        <v>1564</v>
      </c>
    </row>
    <row r="147" spans="1:4" ht="60">
      <c r="A147" s="115">
        <v>131</v>
      </c>
      <c r="B147" s="129" t="s">
        <v>208</v>
      </c>
      <c r="C147" s="129" t="s">
        <v>1607</v>
      </c>
      <c r="D147" s="137" t="s">
        <v>1608</v>
      </c>
    </row>
    <row r="148" spans="1:4" ht="30">
      <c r="A148" s="115">
        <v>132</v>
      </c>
      <c r="B148" s="129" t="s">
        <v>208</v>
      </c>
      <c r="C148" s="129" t="s">
        <v>1519</v>
      </c>
      <c r="D148" s="137" t="s">
        <v>1565</v>
      </c>
    </row>
    <row r="149" spans="1:4" ht="30">
      <c r="A149" s="115">
        <v>133</v>
      </c>
      <c r="B149" s="129" t="s">
        <v>208</v>
      </c>
      <c r="C149" s="129" t="s">
        <v>1441</v>
      </c>
      <c r="D149" s="137" t="s">
        <v>1566</v>
      </c>
    </row>
    <row r="150" spans="1:4" ht="30">
      <c r="A150" s="115">
        <v>134</v>
      </c>
      <c r="B150" s="129" t="s">
        <v>208</v>
      </c>
      <c r="C150" s="129" t="s">
        <v>1269</v>
      </c>
      <c r="D150" s="137" t="s">
        <v>1567</v>
      </c>
    </row>
    <row r="151" spans="1:4" ht="30">
      <c r="A151" s="115">
        <v>135</v>
      </c>
      <c r="B151" s="129" t="s">
        <v>208</v>
      </c>
      <c r="C151" s="130" t="s">
        <v>1270</v>
      </c>
      <c r="D151" s="138" t="s">
        <v>1568</v>
      </c>
    </row>
    <row r="152" spans="1:4" ht="45">
      <c r="A152" s="115">
        <v>136</v>
      </c>
      <c r="B152" s="129" t="s">
        <v>208</v>
      </c>
      <c r="C152" s="129" t="s">
        <v>1271</v>
      </c>
      <c r="D152" s="132" t="s">
        <v>1569</v>
      </c>
    </row>
    <row r="153" spans="1:4" ht="45">
      <c r="A153" s="115">
        <v>137</v>
      </c>
      <c r="B153" s="129" t="s">
        <v>208</v>
      </c>
      <c r="C153" s="129" t="s">
        <v>1272</v>
      </c>
      <c r="D153" s="132" t="s">
        <v>1570</v>
      </c>
    </row>
    <row r="154" spans="1:4" ht="45">
      <c r="A154" s="115">
        <v>138</v>
      </c>
      <c r="B154" s="129" t="s">
        <v>208</v>
      </c>
      <c r="C154" s="130" t="s">
        <v>1442</v>
      </c>
      <c r="D154" s="132" t="s">
        <v>1571</v>
      </c>
    </row>
    <row r="155" spans="1:4" ht="30">
      <c r="A155" s="115">
        <v>139</v>
      </c>
      <c r="B155" s="129" t="s">
        <v>208</v>
      </c>
      <c r="C155" s="130" t="s">
        <v>1273</v>
      </c>
      <c r="D155" s="164" t="s">
        <v>1572</v>
      </c>
    </row>
    <row r="156" spans="1:4" ht="45">
      <c r="A156" s="115">
        <v>140</v>
      </c>
      <c r="B156" s="129" t="s">
        <v>208</v>
      </c>
      <c r="C156" s="129" t="s">
        <v>1274</v>
      </c>
      <c r="D156" s="132" t="s">
        <v>1573</v>
      </c>
    </row>
    <row r="157" spans="1:4" ht="105">
      <c r="A157" s="115">
        <v>141</v>
      </c>
      <c r="B157" s="129" t="s">
        <v>208</v>
      </c>
      <c r="C157" s="129" t="s">
        <v>1275</v>
      </c>
      <c r="D157" s="137" t="s">
        <v>1574</v>
      </c>
    </row>
    <row r="158" spans="1:4" ht="105">
      <c r="A158" s="115">
        <v>142</v>
      </c>
      <c r="B158" s="129" t="s">
        <v>208</v>
      </c>
      <c r="C158" s="129" t="s">
        <v>1276</v>
      </c>
      <c r="D158" s="137" t="s">
        <v>1575</v>
      </c>
    </row>
    <row r="159" spans="1:4" ht="30">
      <c r="A159" s="115">
        <v>143</v>
      </c>
      <c r="B159" s="129" t="s">
        <v>208</v>
      </c>
      <c r="C159" s="129" t="s">
        <v>1277</v>
      </c>
      <c r="D159" s="164" t="s">
        <v>1650</v>
      </c>
    </row>
    <row r="160" spans="1:4" ht="60">
      <c r="A160" s="115">
        <v>144</v>
      </c>
      <c r="B160" s="129" t="s">
        <v>208</v>
      </c>
      <c r="C160" s="129" t="s">
        <v>1278</v>
      </c>
      <c r="D160" s="137" t="s">
        <v>1576</v>
      </c>
    </row>
    <row r="161" spans="1:4" ht="75">
      <c r="A161" s="115">
        <v>145</v>
      </c>
      <c r="B161" s="129" t="s">
        <v>208</v>
      </c>
      <c r="C161" s="129" t="s">
        <v>1279</v>
      </c>
      <c r="D161" s="137" t="s">
        <v>1577</v>
      </c>
    </row>
    <row r="162" spans="1:4" ht="45">
      <c r="A162" s="115">
        <v>146</v>
      </c>
      <c r="B162" s="129" t="s">
        <v>208</v>
      </c>
      <c r="C162" s="129" t="s">
        <v>1654</v>
      </c>
      <c r="D162" s="137" t="s">
        <v>1655</v>
      </c>
    </row>
    <row r="163" spans="1:4" ht="75">
      <c r="A163" s="115">
        <v>147</v>
      </c>
      <c r="B163" s="129" t="s">
        <v>208</v>
      </c>
      <c r="C163" s="129" t="s">
        <v>1443</v>
      </c>
      <c r="D163" s="164" t="s">
        <v>1578</v>
      </c>
    </row>
    <row r="164" spans="1:4" ht="60">
      <c r="A164" s="115">
        <v>148</v>
      </c>
      <c r="B164" s="129" t="s">
        <v>208</v>
      </c>
      <c r="C164" s="129" t="s">
        <v>1304</v>
      </c>
      <c r="D164" s="137" t="s">
        <v>1579</v>
      </c>
    </row>
    <row r="165" spans="1:4" ht="60">
      <c r="A165" s="115">
        <v>149</v>
      </c>
      <c r="B165" s="129" t="s">
        <v>208</v>
      </c>
      <c r="C165" s="129" t="s">
        <v>1520</v>
      </c>
      <c r="D165" s="137" t="s">
        <v>1580</v>
      </c>
    </row>
    <row r="166" spans="1:4" ht="150">
      <c r="A166" s="115">
        <v>150</v>
      </c>
      <c r="B166" s="129" t="s">
        <v>208</v>
      </c>
      <c r="C166" s="129" t="s">
        <v>1280</v>
      </c>
      <c r="D166" s="164" t="s">
        <v>1581</v>
      </c>
    </row>
    <row r="167" spans="1:4" ht="150">
      <c r="A167" s="115">
        <v>151</v>
      </c>
      <c r="B167" s="129" t="s">
        <v>208</v>
      </c>
      <c r="C167" s="129" t="s">
        <v>1281</v>
      </c>
      <c r="D167" s="164" t="s">
        <v>1582</v>
      </c>
    </row>
    <row r="168" spans="1:4" ht="60">
      <c r="A168" s="115">
        <v>152</v>
      </c>
      <c r="B168" s="129" t="s">
        <v>208</v>
      </c>
      <c r="C168" s="129" t="s">
        <v>1282</v>
      </c>
      <c r="D168" s="137" t="s">
        <v>1583</v>
      </c>
    </row>
    <row r="169" spans="1:4" ht="61.5" customHeight="1">
      <c r="A169" s="115">
        <v>153</v>
      </c>
      <c r="B169" s="129" t="s">
        <v>208</v>
      </c>
      <c r="C169" s="129" t="s">
        <v>1659</v>
      </c>
      <c r="D169" s="137" t="s">
        <v>1660</v>
      </c>
    </row>
    <row r="170" spans="1:4" ht="75">
      <c r="A170" s="115">
        <v>154</v>
      </c>
      <c r="B170" s="129" t="s">
        <v>208</v>
      </c>
      <c r="C170" s="129" t="s">
        <v>1283</v>
      </c>
      <c r="D170" s="137" t="s">
        <v>1584</v>
      </c>
    </row>
    <row r="171" spans="1:4" ht="60">
      <c r="A171" s="115">
        <v>155</v>
      </c>
      <c r="B171" s="129" t="s">
        <v>208</v>
      </c>
      <c r="C171" s="129" t="s">
        <v>1284</v>
      </c>
      <c r="D171" s="164" t="s">
        <v>1585</v>
      </c>
    </row>
    <row r="172" spans="1:4" ht="60">
      <c r="A172" s="115">
        <v>156</v>
      </c>
      <c r="B172" s="129" t="s">
        <v>208</v>
      </c>
      <c r="C172" s="129" t="s">
        <v>1285</v>
      </c>
      <c r="D172" s="164" t="s">
        <v>1586</v>
      </c>
    </row>
    <row r="173" spans="1:4" ht="45">
      <c r="A173" s="115">
        <v>157</v>
      </c>
      <c r="B173" s="129" t="s">
        <v>208</v>
      </c>
      <c r="C173" s="129" t="s">
        <v>1286</v>
      </c>
      <c r="D173" s="164" t="s">
        <v>1587</v>
      </c>
    </row>
    <row r="174" spans="1:4" ht="45">
      <c r="A174" s="115">
        <v>158</v>
      </c>
      <c r="B174" s="129" t="s">
        <v>208</v>
      </c>
      <c r="C174" s="129" t="s">
        <v>1287</v>
      </c>
      <c r="D174" s="164" t="s">
        <v>1588</v>
      </c>
    </row>
    <row r="175" spans="1:4" ht="45">
      <c r="A175" s="115">
        <v>159</v>
      </c>
      <c r="B175" s="129" t="s">
        <v>208</v>
      </c>
      <c r="C175" s="129" t="s">
        <v>1288</v>
      </c>
      <c r="D175" s="164" t="s">
        <v>1589</v>
      </c>
    </row>
    <row r="176" spans="1:4" ht="45">
      <c r="A176" s="115">
        <v>160</v>
      </c>
      <c r="B176" s="129" t="s">
        <v>208</v>
      </c>
      <c r="C176" s="129" t="s">
        <v>1289</v>
      </c>
      <c r="D176" s="164" t="s">
        <v>1590</v>
      </c>
    </row>
    <row r="177" spans="1:4" ht="90">
      <c r="A177" s="115">
        <v>161</v>
      </c>
      <c r="B177" s="129" t="s">
        <v>208</v>
      </c>
      <c r="C177" s="129" t="s">
        <v>1290</v>
      </c>
      <c r="D177" s="164" t="s">
        <v>1591</v>
      </c>
    </row>
    <row r="178" spans="1:4" ht="105">
      <c r="A178" s="115">
        <v>162</v>
      </c>
      <c r="B178" s="129" t="s">
        <v>208</v>
      </c>
      <c r="C178" s="129" t="s">
        <v>1291</v>
      </c>
      <c r="D178" s="164" t="s">
        <v>1592</v>
      </c>
    </row>
    <row r="179" spans="1:4" ht="75">
      <c r="A179" s="115">
        <v>163</v>
      </c>
      <c r="B179" s="129" t="s">
        <v>208</v>
      </c>
      <c r="C179" s="129" t="s">
        <v>1292</v>
      </c>
      <c r="D179" s="164" t="s">
        <v>1593</v>
      </c>
    </row>
    <row r="180" spans="1:4" ht="45">
      <c r="A180" s="115">
        <v>164</v>
      </c>
      <c r="B180" s="129" t="s">
        <v>208</v>
      </c>
      <c r="C180" s="129" t="s">
        <v>1293</v>
      </c>
      <c r="D180" s="164" t="s">
        <v>1594</v>
      </c>
    </row>
    <row r="181" spans="1:4" ht="75">
      <c r="A181" s="115">
        <v>165</v>
      </c>
      <c r="B181" s="129" t="s">
        <v>208</v>
      </c>
      <c r="C181" s="129" t="s">
        <v>1294</v>
      </c>
      <c r="D181" s="164" t="s">
        <v>1595</v>
      </c>
    </row>
    <row r="182" spans="1:4" ht="60">
      <c r="A182" s="115">
        <v>166</v>
      </c>
      <c r="B182" s="129" t="s">
        <v>208</v>
      </c>
      <c r="C182" s="129" t="s">
        <v>1444</v>
      </c>
      <c r="D182" s="164" t="s">
        <v>1596</v>
      </c>
    </row>
    <row r="183" spans="1:4" ht="150">
      <c r="A183" s="115">
        <v>167</v>
      </c>
      <c r="B183" s="129" t="s">
        <v>208</v>
      </c>
      <c r="C183" s="129" t="s">
        <v>1295</v>
      </c>
      <c r="D183" s="164" t="s">
        <v>1597</v>
      </c>
    </row>
    <row r="184" spans="1:4" ht="45">
      <c r="A184" s="115">
        <v>168</v>
      </c>
      <c r="B184" s="129" t="s">
        <v>208</v>
      </c>
      <c r="C184" s="129" t="s">
        <v>1296</v>
      </c>
      <c r="D184" s="164" t="s">
        <v>1598</v>
      </c>
    </row>
    <row r="185" spans="1:4" ht="45">
      <c r="A185" s="115">
        <v>169</v>
      </c>
      <c r="B185" s="129" t="s">
        <v>208</v>
      </c>
      <c r="C185" s="129" t="s">
        <v>1297</v>
      </c>
      <c r="D185" s="164" t="s">
        <v>1599</v>
      </c>
    </row>
    <row r="186" spans="1:4" ht="45">
      <c r="A186" s="115">
        <v>170</v>
      </c>
      <c r="B186" s="129" t="s">
        <v>208</v>
      </c>
      <c r="C186" s="129" t="s">
        <v>1298</v>
      </c>
      <c r="D186" s="137" t="s">
        <v>1600</v>
      </c>
    </row>
    <row r="187" spans="1:4" ht="90">
      <c r="A187" s="115">
        <v>171</v>
      </c>
      <c r="B187" s="129" t="s">
        <v>208</v>
      </c>
      <c r="C187" s="129" t="s">
        <v>1299</v>
      </c>
      <c r="D187" s="137" t="s">
        <v>1402</v>
      </c>
    </row>
    <row r="188" spans="1:4" ht="53.25" customHeight="1">
      <c r="A188" s="115">
        <v>172</v>
      </c>
      <c r="B188" s="129" t="s">
        <v>208</v>
      </c>
      <c r="C188" s="129" t="s">
        <v>1767</v>
      </c>
      <c r="D188" s="137" t="s">
        <v>1758</v>
      </c>
    </row>
    <row r="189" spans="1:4" ht="45">
      <c r="A189" s="115">
        <v>173</v>
      </c>
      <c r="B189" s="129" t="s">
        <v>208</v>
      </c>
      <c r="C189" s="129" t="s">
        <v>1300</v>
      </c>
      <c r="D189" s="137" t="s">
        <v>1404</v>
      </c>
    </row>
    <row r="190" spans="1:4" ht="30">
      <c r="A190" s="115">
        <v>174</v>
      </c>
      <c r="B190" s="129" t="s">
        <v>208</v>
      </c>
      <c r="C190" s="129" t="s">
        <v>1301</v>
      </c>
      <c r="D190" s="137" t="s">
        <v>1403</v>
      </c>
    </row>
    <row r="191" spans="1:4" ht="30">
      <c r="A191" s="115">
        <v>175</v>
      </c>
      <c r="B191" s="129" t="s">
        <v>208</v>
      </c>
      <c r="C191" s="129" t="s">
        <v>1523</v>
      </c>
      <c r="D191" s="137" t="s">
        <v>1611</v>
      </c>
    </row>
    <row r="192" spans="1:4" ht="45">
      <c r="A192" s="115">
        <v>176</v>
      </c>
      <c r="B192" s="129" t="s">
        <v>208</v>
      </c>
      <c r="C192" s="129" t="s">
        <v>1302</v>
      </c>
      <c r="D192" s="164" t="s">
        <v>218</v>
      </c>
    </row>
    <row r="193" spans="1:4" ht="60">
      <c r="A193" s="115">
        <v>177</v>
      </c>
      <c r="B193" s="129" t="s">
        <v>208</v>
      </c>
      <c r="C193" s="129" t="s">
        <v>1521</v>
      </c>
      <c r="D193" s="164" t="s">
        <v>1522</v>
      </c>
    </row>
    <row r="194" spans="1:4" ht="42.75" customHeight="1">
      <c r="A194" s="115">
        <v>178</v>
      </c>
      <c r="B194" s="129" t="s">
        <v>208</v>
      </c>
      <c r="C194" s="129" t="s">
        <v>1609</v>
      </c>
      <c r="D194" s="164" t="s">
        <v>1610</v>
      </c>
    </row>
    <row r="195" spans="1:4" ht="42.75" customHeight="1">
      <c r="A195" s="115">
        <v>179</v>
      </c>
      <c r="B195" s="129" t="s">
        <v>208</v>
      </c>
      <c r="C195" s="130" t="s">
        <v>1819</v>
      </c>
      <c r="D195" s="164" t="s">
        <v>1820</v>
      </c>
    </row>
    <row r="196" spans="1:4" ht="45">
      <c r="A196" s="115">
        <v>180</v>
      </c>
      <c r="B196" s="129" t="s">
        <v>208</v>
      </c>
      <c r="C196" s="130" t="s">
        <v>1518</v>
      </c>
      <c r="D196" s="132" t="s">
        <v>1603</v>
      </c>
    </row>
    <row r="197" spans="1:4" ht="150">
      <c r="A197" s="115">
        <v>181</v>
      </c>
      <c r="B197" s="129" t="s">
        <v>208</v>
      </c>
      <c r="C197" s="130" t="s">
        <v>1656</v>
      </c>
      <c r="D197" s="131" t="s">
        <v>1657</v>
      </c>
    </row>
    <row r="198" spans="1:4" ht="60">
      <c r="A198" s="115">
        <v>182</v>
      </c>
      <c r="B198" s="129" t="s">
        <v>208</v>
      </c>
      <c r="C198" s="130" t="s">
        <v>1498</v>
      </c>
      <c r="D198" s="132" t="s">
        <v>1602</v>
      </c>
    </row>
    <row r="199" spans="1:4" ht="30">
      <c r="A199" s="115">
        <v>183</v>
      </c>
      <c r="B199" s="129" t="s">
        <v>208</v>
      </c>
      <c r="C199" s="130" t="s">
        <v>1303</v>
      </c>
      <c r="D199" s="132" t="s">
        <v>1604</v>
      </c>
    </row>
    <row r="200" spans="1:4" ht="30">
      <c r="A200" s="115">
        <v>184</v>
      </c>
      <c r="B200" s="129" t="s">
        <v>208</v>
      </c>
      <c r="C200" s="130" t="s">
        <v>1305</v>
      </c>
      <c r="D200" s="131" t="s">
        <v>1601</v>
      </c>
    </row>
    <row r="201" spans="1:4" ht="90">
      <c r="A201" s="115">
        <v>185</v>
      </c>
      <c r="B201" s="129" t="s">
        <v>208</v>
      </c>
      <c r="C201" s="133" t="s">
        <v>1445</v>
      </c>
      <c r="D201" s="132" t="s">
        <v>554</v>
      </c>
    </row>
    <row r="202" spans="1:4" ht="45">
      <c r="A202" s="115">
        <v>186</v>
      </c>
      <c r="B202" s="129" t="s">
        <v>208</v>
      </c>
      <c r="C202" s="133" t="s">
        <v>1446</v>
      </c>
      <c r="D202" s="131" t="s">
        <v>1221</v>
      </c>
    </row>
    <row r="203" spans="1:4" ht="45">
      <c r="A203" s="115">
        <v>187</v>
      </c>
      <c r="B203" s="129" t="s">
        <v>208</v>
      </c>
      <c r="C203" s="133" t="s">
        <v>1247</v>
      </c>
      <c r="D203" s="131" t="s">
        <v>1120</v>
      </c>
    </row>
    <row r="204" spans="1:4" ht="60">
      <c r="A204" s="115">
        <v>188</v>
      </c>
      <c r="B204" s="129" t="s">
        <v>208</v>
      </c>
      <c r="C204" s="130" t="s">
        <v>1248</v>
      </c>
      <c r="D204" s="132" t="s">
        <v>1605</v>
      </c>
    </row>
    <row r="205" spans="1:4" ht="60">
      <c r="A205" s="115">
        <v>189</v>
      </c>
      <c r="B205" s="129" t="s">
        <v>208</v>
      </c>
      <c r="C205" s="130" t="s">
        <v>1249</v>
      </c>
      <c r="D205" s="131" t="s">
        <v>1121</v>
      </c>
    </row>
    <row r="206" spans="1:4" ht="75">
      <c r="A206" s="115">
        <v>190</v>
      </c>
      <c r="B206" s="129" t="s">
        <v>208</v>
      </c>
      <c r="C206" s="130" t="s">
        <v>1250</v>
      </c>
      <c r="D206" s="132" t="s">
        <v>1214</v>
      </c>
    </row>
    <row r="207" spans="1:4" ht="75">
      <c r="A207" s="115">
        <v>191</v>
      </c>
      <c r="B207" s="129" t="s">
        <v>208</v>
      </c>
      <c r="C207" s="130" t="s">
        <v>1251</v>
      </c>
      <c r="D207" s="132" t="s">
        <v>1606</v>
      </c>
    </row>
    <row r="208" spans="1:4" ht="60">
      <c r="A208" s="115">
        <v>192</v>
      </c>
      <c r="B208" s="129" t="s">
        <v>208</v>
      </c>
      <c r="C208" s="130" t="s">
        <v>1754</v>
      </c>
      <c r="D208" s="132" t="s">
        <v>1755</v>
      </c>
    </row>
    <row r="209" spans="1:4" ht="38.25" customHeight="1">
      <c r="A209" s="115">
        <v>193</v>
      </c>
      <c r="B209" s="129" t="s">
        <v>208</v>
      </c>
      <c r="C209" s="130" t="s">
        <v>1821</v>
      </c>
      <c r="D209" s="137" t="s">
        <v>1795</v>
      </c>
    </row>
    <row r="210" spans="1:4" ht="45">
      <c r="A210" s="115">
        <v>194</v>
      </c>
      <c r="B210" s="129" t="s">
        <v>208</v>
      </c>
      <c r="C210" s="130" t="s">
        <v>1252</v>
      </c>
      <c r="D210" s="131" t="s">
        <v>1220</v>
      </c>
    </row>
    <row r="211" spans="1:4" ht="45">
      <c r="A211" s="115">
        <v>195</v>
      </c>
      <c r="B211" s="129" t="s">
        <v>208</v>
      </c>
      <c r="C211" s="130" t="s">
        <v>1306</v>
      </c>
      <c r="D211" s="131" t="s">
        <v>1307</v>
      </c>
    </row>
    <row r="212" spans="1:4" ht="30">
      <c r="A212" s="115">
        <v>196</v>
      </c>
      <c r="B212" s="129" t="s">
        <v>208</v>
      </c>
      <c r="C212" s="130" t="s">
        <v>1253</v>
      </c>
      <c r="D212" s="131" t="s">
        <v>1122</v>
      </c>
    </row>
    <row r="213" spans="1:4" ht="60">
      <c r="A213" s="115">
        <v>197</v>
      </c>
      <c r="B213" s="129" t="s">
        <v>208</v>
      </c>
      <c r="C213" s="130" t="s">
        <v>1254</v>
      </c>
      <c r="D213" s="132" t="s">
        <v>1123</v>
      </c>
    </row>
  </sheetData>
  <autoFilter ref="A4:I272"/>
  <mergeCells count="14">
    <mergeCell ref="B106:D106"/>
    <mergeCell ref="B37:D37"/>
    <mergeCell ref="B6:D6"/>
    <mergeCell ref="B10:D10"/>
    <mergeCell ref="B14:D14"/>
    <mergeCell ref="B33:D33"/>
    <mergeCell ref="A1:D1"/>
    <mergeCell ref="B99:D99"/>
    <mergeCell ref="B47:D47"/>
    <mergeCell ref="B78:D78"/>
    <mergeCell ref="A2:D2"/>
    <mergeCell ref="A3:D3"/>
    <mergeCell ref="A5:D5"/>
    <mergeCell ref="B53:D53"/>
  </mergeCells>
  <pageMargins left="0.87" right="0.24" top="0.39370078740157483" bottom="0.98425196850393704" header="0.39370078740157483" footer="0.23622047244094491"/>
  <pageSetup paperSize="9" scale="65" fitToHeight="0" orientation="portrait" useFirstPageNumber="1" r:id="rId1"/>
  <headerFooter alignWithMargins="0"/>
</worksheet>
</file>

<file path=xl/worksheets/sheet20.xml><?xml version="1.0" encoding="utf-8"?>
<worksheet xmlns="http://schemas.openxmlformats.org/spreadsheetml/2006/main" xmlns:r="http://schemas.openxmlformats.org/officeDocument/2006/relationships">
  <sheetPr>
    <tabColor rgb="FF92D050"/>
  </sheetPr>
  <dimension ref="A1:G11"/>
  <sheetViews>
    <sheetView workbookViewId="0">
      <selection activeCell="F18" sqref="F18"/>
    </sheetView>
  </sheetViews>
  <sheetFormatPr defaultRowHeight="12.75"/>
  <cols>
    <col min="1" max="1" width="42.140625" customWidth="1"/>
    <col min="2" max="2" width="21" customWidth="1"/>
    <col min="3" max="3" width="14.140625" customWidth="1"/>
    <col min="4" max="4" width="14.5703125" customWidth="1"/>
    <col min="5" max="5" width="19.140625" customWidth="1"/>
    <col min="6" max="6" width="13.85546875" customWidth="1"/>
    <col min="7" max="7" width="11.28515625" customWidth="1"/>
  </cols>
  <sheetData>
    <row r="1" spans="1:7" ht="60.75" customHeight="1">
      <c r="A1" s="485" t="str">
        <f>"Приложение "&amp;Н1акк&amp;" к решению
Богучанского районного Совета депутатов
от "&amp;Р1дата&amp;" года №"&amp;Р1номер</f>
        <v>Приложение 14 к решению
Богучанского районного Совета депутатов
от  года №</v>
      </c>
      <c r="B1" s="485"/>
      <c r="C1" s="485"/>
      <c r="D1" s="485"/>
    </row>
    <row r="2" spans="1:7" ht="114" customHeight="1">
      <c r="A2" s="484" t="str">
        <f>"Иные межбюджетные трансферты бюджетам поселений Богучанского района из районного бюджета на реализацию мероприятий по неспецифической профилактике инфекций, передающихся иксодовыми клещами, путем организации и   "</f>
        <v xml:space="preserve">Иные межбюджетные трансферты бюджетам поселений Богучанского района из районного бюджета на реализацию мероприятий по неспецифической профилактике инфекций, передающихся иксодовыми клещами, путем организации и   </v>
      </c>
      <c r="B2" s="484"/>
      <c r="C2" s="484"/>
      <c r="D2" s="484"/>
    </row>
    <row r="3" spans="1:7" ht="55.5" customHeight="1">
      <c r="A3" s="484" t="s">
        <v>2298</v>
      </c>
      <c r="B3" s="484"/>
      <c r="C3" s="484"/>
      <c r="D3" s="484"/>
    </row>
    <row r="4" spans="1:7">
      <c r="A4" s="3"/>
      <c r="B4" s="3"/>
      <c r="C4" s="3"/>
      <c r="D4" s="8" t="s">
        <v>69</v>
      </c>
    </row>
    <row r="5" spans="1:7" ht="28.5">
      <c r="A5" s="32" t="s">
        <v>21</v>
      </c>
      <c r="B5" s="22" t="s">
        <v>2264</v>
      </c>
      <c r="C5" s="22" t="s">
        <v>2286</v>
      </c>
      <c r="D5" s="22" t="s">
        <v>2263</v>
      </c>
      <c r="F5">
        <v>9090075550</v>
      </c>
    </row>
    <row r="6" spans="1:7" ht="15" customHeight="1">
      <c r="A6" s="276" t="s">
        <v>70</v>
      </c>
      <c r="B6" s="218">
        <f>SUM(B7:B11)</f>
        <v>60210</v>
      </c>
      <c r="C6" s="218">
        <f>SUM(C7:C11)</f>
        <v>60210</v>
      </c>
      <c r="D6" s="467">
        <f>C6/B6*100</f>
        <v>100</v>
      </c>
      <c r="E6" s="127">
        <f ca="1">SUMIF(РзПз,"????"&amp;F5,СумВед)-B6</f>
        <v>-60210</v>
      </c>
      <c r="F6" s="127">
        <f ca="1">SUMIF(РзПзПлПер,"????"&amp;F5,СумВед14)-C6</f>
        <v>-60210</v>
      </c>
      <c r="G6" s="127">
        <f ca="1">SUMIF(РзПзПлПер,"????"&amp;F5,СумВед15)-D6</f>
        <v>-100</v>
      </c>
    </row>
    <row r="7" spans="1:7" ht="28.5">
      <c r="A7" s="277" t="s">
        <v>58</v>
      </c>
      <c r="B7" s="221">
        <v>11287.5</v>
      </c>
      <c r="C7" s="221">
        <v>11287.5</v>
      </c>
      <c r="D7" s="221">
        <f>C7/B7*100</f>
        <v>100</v>
      </c>
    </row>
    <row r="8" spans="1:7" ht="28.5">
      <c r="A8" s="278" t="s">
        <v>1060</v>
      </c>
      <c r="B8" s="221">
        <v>11287.5</v>
      </c>
      <c r="C8" s="221">
        <v>11287.5</v>
      </c>
      <c r="D8" s="221">
        <f t="shared" ref="D8:D11" si="0">C8/B8*100</f>
        <v>100</v>
      </c>
    </row>
    <row r="9" spans="1:7" ht="14.25">
      <c r="A9" s="278" t="s">
        <v>82</v>
      </c>
      <c r="B9" s="221">
        <v>15060</v>
      </c>
      <c r="C9" s="221">
        <v>15060</v>
      </c>
      <c r="D9" s="221">
        <f t="shared" si="0"/>
        <v>100</v>
      </c>
    </row>
    <row r="10" spans="1:7" ht="28.5">
      <c r="A10" s="277" t="s">
        <v>137</v>
      </c>
      <c r="B10" s="221">
        <v>11287.5</v>
      </c>
      <c r="C10" s="221">
        <v>11287.5</v>
      </c>
      <c r="D10" s="221">
        <f t="shared" si="0"/>
        <v>100</v>
      </c>
    </row>
    <row r="11" spans="1:7" ht="14.25">
      <c r="A11" s="277" t="s">
        <v>1230</v>
      </c>
      <c r="B11" s="221">
        <v>11287.5</v>
      </c>
      <c r="C11" s="221">
        <v>11287.5</v>
      </c>
      <c r="D11" s="221">
        <f t="shared" si="0"/>
        <v>100</v>
      </c>
    </row>
  </sheetData>
  <mergeCells count="3">
    <mergeCell ref="A1:D1"/>
    <mergeCell ref="A2:D2"/>
    <mergeCell ref="A3:D3"/>
  </mergeCells>
  <pageMargins left="0.7" right="0.24"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dimension ref="A1:D24"/>
  <sheetViews>
    <sheetView workbookViewId="0">
      <selection activeCell="G10" sqref="G10"/>
    </sheetView>
  </sheetViews>
  <sheetFormatPr defaultRowHeight="12.75"/>
  <cols>
    <col min="1" max="1" width="57.5703125" customWidth="1"/>
    <col min="2" max="2" width="34.85546875" customWidth="1"/>
    <col min="3" max="3" width="16.140625" hidden="1" customWidth="1"/>
    <col min="4" max="4" width="15.28515625" hidden="1" customWidth="1"/>
  </cols>
  <sheetData>
    <row r="1" spans="1:4" ht="39" customHeight="1">
      <c r="A1" s="485" t="str">
        <f>"Приложение №"&amp;Н2доркап&amp;"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85"/>
      <c r="C1" s="485"/>
      <c r="D1" s="485"/>
    </row>
    <row r="2" spans="1:4" ht="54.75" customHeight="1">
      <c r="A2" s="485" t="str">
        <f>"Приложение №"&amp;Н1доркап&amp;" к решению
Богучанского районного Совета депутатов
от "&amp;Р1дата&amp;" года №"&amp;Р1номер</f>
        <v>Приложение № к решению
Богучанского районного Совета депутатов
от  года №</v>
      </c>
      <c r="B2" s="485"/>
      <c r="C2" s="485"/>
      <c r="D2" s="485"/>
    </row>
    <row r="3" spans="1:4" ht="96" customHeight="1">
      <c r="A3" s="537" t="s">
        <v>2131</v>
      </c>
      <c r="B3" s="537"/>
      <c r="C3" s="537"/>
      <c r="D3" s="537"/>
    </row>
    <row r="4" spans="1:4">
      <c r="A4" s="154"/>
      <c r="B4" s="154"/>
      <c r="C4" s="154"/>
      <c r="D4" s="154"/>
    </row>
    <row r="5" spans="1:4" ht="22.5" customHeight="1">
      <c r="A5" s="231" t="s">
        <v>21</v>
      </c>
      <c r="B5" s="22" t="s">
        <v>1339</v>
      </c>
      <c r="C5" s="22" t="s">
        <v>1836</v>
      </c>
      <c r="D5" s="22" t="s">
        <v>1837</v>
      </c>
    </row>
    <row r="6" spans="1:4" ht="15">
      <c r="A6" s="419" t="s">
        <v>1061</v>
      </c>
      <c r="B6" s="420">
        <f>SUM(B7:B24)</f>
        <v>0</v>
      </c>
      <c r="C6" s="255">
        <f>SUM(C7:C24)</f>
        <v>0</v>
      </c>
      <c r="D6" s="255">
        <f>SUM(D7:D24)</f>
        <v>0</v>
      </c>
    </row>
    <row r="7" spans="1:4" ht="14.25">
      <c r="A7" s="36" t="s">
        <v>57</v>
      </c>
      <c r="B7" s="233"/>
      <c r="C7" s="233"/>
      <c r="D7" s="233"/>
    </row>
    <row r="8" spans="1:4" ht="14.25">
      <c r="A8" s="36" t="s">
        <v>79</v>
      </c>
      <c r="B8" s="233"/>
      <c r="C8" s="233"/>
      <c r="D8" s="233"/>
    </row>
    <row r="9" spans="1:4" ht="14.25">
      <c r="A9" s="36" t="s">
        <v>1241</v>
      </c>
      <c r="B9" s="233"/>
      <c r="C9" s="233"/>
      <c r="D9" s="233"/>
    </row>
    <row r="10" spans="1:4" ht="14.25">
      <c r="A10" s="36" t="s">
        <v>2127</v>
      </c>
      <c r="B10" s="233"/>
      <c r="C10" s="233"/>
      <c r="D10" s="233"/>
    </row>
    <row r="11" spans="1:4" ht="14.25">
      <c r="A11" s="36" t="s">
        <v>59</v>
      </c>
      <c r="B11" s="233"/>
      <c r="C11" s="233"/>
      <c r="D11" s="233"/>
    </row>
    <row r="12" spans="1:4" ht="14.25">
      <c r="A12" s="12" t="s">
        <v>231</v>
      </c>
      <c r="B12" s="233"/>
      <c r="C12" s="233"/>
      <c r="D12" s="233"/>
    </row>
    <row r="13" spans="1:4" ht="14.25">
      <c r="A13" s="36" t="s">
        <v>80</v>
      </c>
      <c r="B13" s="233"/>
      <c r="C13" s="233"/>
      <c r="D13" s="233"/>
    </row>
    <row r="14" spans="1:4" ht="14.25">
      <c r="A14" s="36" t="s">
        <v>135</v>
      </c>
      <c r="B14" s="233"/>
      <c r="C14" s="233"/>
      <c r="D14" s="233"/>
    </row>
    <row r="15" spans="1:4" ht="14.25">
      <c r="A15" s="36" t="s">
        <v>136</v>
      </c>
      <c r="B15" s="233"/>
      <c r="C15" s="233"/>
      <c r="D15" s="233"/>
    </row>
    <row r="16" spans="1:4" ht="14.25">
      <c r="A16" s="36" t="s">
        <v>81</v>
      </c>
      <c r="B16" s="233"/>
      <c r="C16" s="233"/>
      <c r="D16" s="233"/>
    </row>
    <row r="17" spans="1:4" ht="14.25">
      <c r="A17" s="36" t="s">
        <v>1242</v>
      </c>
      <c r="B17" s="273"/>
      <c r="C17" s="313"/>
      <c r="D17" s="313"/>
    </row>
    <row r="18" spans="1:4" ht="14.25">
      <c r="A18" s="36" t="s">
        <v>82</v>
      </c>
      <c r="B18" s="273"/>
      <c r="C18" s="313"/>
      <c r="D18" s="313"/>
    </row>
    <row r="19" spans="1:4" ht="14.25">
      <c r="A19" s="24" t="s">
        <v>2128</v>
      </c>
      <c r="B19" s="273"/>
      <c r="C19" s="313"/>
      <c r="D19" s="313"/>
    </row>
    <row r="20" spans="1:4" ht="14.25">
      <c r="A20" s="36" t="s">
        <v>84</v>
      </c>
      <c r="B20" s="273"/>
      <c r="C20" s="273"/>
      <c r="D20" s="273"/>
    </row>
    <row r="21" spans="1:4" ht="14.25">
      <c r="A21" s="36" t="s">
        <v>85</v>
      </c>
      <c r="B21" s="313"/>
      <c r="C21" s="273"/>
      <c r="D21" s="313"/>
    </row>
    <row r="22" spans="1:4" ht="14.25">
      <c r="A22" s="36" t="s">
        <v>138</v>
      </c>
      <c r="B22" s="313"/>
      <c r="C22" s="273"/>
      <c r="D22" s="313"/>
    </row>
    <row r="23" spans="1:4" ht="14.25">
      <c r="A23" s="36" t="s">
        <v>139</v>
      </c>
      <c r="B23" s="313"/>
      <c r="C23" s="273"/>
      <c r="D23" s="313"/>
    </row>
    <row r="24" spans="1:4" ht="14.25">
      <c r="A24" s="36" t="s">
        <v>86</v>
      </c>
      <c r="B24" s="313"/>
      <c r="C24" s="313"/>
      <c r="D24" s="273"/>
    </row>
  </sheetData>
  <mergeCells count="3">
    <mergeCell ref="A1:D1"/>
    <mergeCell ref="A2:D2"/>
    <mergeCell ref="A3:D3"/>
  </mergeCells>
  <pageMargins left="0.7" right="0.24"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dimension ref="A1:B7"/>
  <sheetViews>
    <sheetView workbookViewId="0">
      <selection activeCell="B8" sqref="B8"/>
    </sheetView>
  </sheetViews>
  <sheetFormatPr defaultRowHeight="12.75"/>
  <cols>
    <col min="1" max="1" width="62.42578125" customWidth="1"/>
    <col min="2" max="2" width="20" customWidth="1"/>
  </cols>
  <sheetData>
    <row r="1" spans="1:2" ht="53.25" customHeight="1">
      <c r="A1" s="501" t="str">
        <f>"Приложение №"&amp;H2гор_среда_10&amp;"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501"/>
    </row>
    <row r="2" spans="1:2" ht="67.5" customHeight="1">
      <c r="A2" s="501" t="str">
        <f>"Приложение №"&amp;H1гор_среда_10&amp;" к решению
Богучанского районного Совета депутатов
от "&amp;Р1дата&amp;" года №"&amp;е213</f>
        <v>Приложение № к решению
Богучанского районного Совета депутатов
от  года №6/1-25</v>
      </c>
      <c r="B2" s="501"/>
    </row>
    <row r="3" spans="1:2" ht="180" customHeight="1">
      <c r="A3" s="538" t="s">
        <v>1822</v>
      </c>
      <c r="B3" s="538"/>
    </row>
    <row r="4" spans="1:2">
      <c r="A4" s="3"/>
      <c r="B4" s="8" t="s">
        <v>69</v>
      </c>
    </row>
    <row r="5" spans="1:2">
      <c r="A5" s="32" t="s">
        <v>21</v>
      </c>
      <c r="B5" s="32" t="s">
        <v>1340</v>
      </c>
    </row>
    <row r="6" spans="1:2" ht="15">
      <c r="A6" s="358" t="s">
        <v>70</v>
      </c>
      <c r="B6" s="359">
        <f>SUM(B7:B10)</f>
        <v>0</v>
      </c>
    </row>
    <row r="7" spans="1:2" ht="17.25" customHeight="1">
      <c r="A7" s="10" t="s">
        <v>1243</v>
      </c>
      <c r="B7" s="25"/>
    </row>
  </sheetData>
  <mergeCells count="3">
    <mergeCell ref="A1:B1"/>
    <mergeCell ref="A2:B2"/>
    <mergeCell ref="A3:B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rgb="FF92D050"/>
  </sheetPr>
  <dimension ref="A1:D16"/>
  <sheetViews>
    <sheetView workbookViewId="0">
      <selection activeCell="B4" sqref="B4:D4"/>
    </sheetView>
  </sheetViews>
  <sheetFormatPr defaultRowHeight="12.75"/>
  <cols>
    <col min="1" max="1" width="43.7109375" customWidth="1"/>
    <col min="2" max="2" width="21.28515625" customWidth="1"/>
    <col min="3" max="3" width="14.42578125" customWidth="1"/>
    <col min="4" max="4" width="14.28515625" customWidth="1"/>
  </cols>
  <sheetData>
    <row r="1" spans="1:4" ht="63" customHeight="1">
      <c r="A1" s="485" t="str">
        <f>"Приложение №"&amp;H1потенциал&amp;" к решению
Богучанского районного Совета депутатов
от "&amp;Р1дата&amp;" года №"&amp;Р1номер</f>
        <v>Приложение №15 к решению
Богучанского районного Совета депутатов
от  года №</v>
      </c>
      <c r="B1" s="485"/>
      <c r="C1" s="485"/>
      <c r="D1" s="485"/>
    </row>
    <row r="2" spans="1:4" ht="90" customHeight="1">
      <c r="A2" s="512" t="s">
        <v>2299</v>
      </c>
      <c r="B2" s="512"/>
      <c r="C2" s="512"/>
      <c r="D2" s="512"/>
    </row>
    <row r="3" spans="1:4">
      <c r="A3" s="154"/>
      <c r="B3" s="8"/>
      <c r="C3" s="8"/>
      <c r="D3" s="155" t="s">
        <v>69</v>
      </c>
    </row>
    <row r="4" spans="1:4" ht="28.5">
      <c r="A4" s="22" t="s">
        <v>21</v>
      </c>
      <c r="B4" s="22" t="s">
        <v>2264</v>
      </c>
      <c r="C4" s="22" t="s">
        <v>2286</v>
      </c>
      <c r="D4" s="22" t="s">
        <v>2263</v>
      </c>
    </row>
    <row r="5" spans="1:4" ht="15">
      <c r="A5" s="457" t="s">
        <v>70</v>
      </c>
      <c r="B5" s="246">
        <f>SUM(B6:B16)</f>
        <v>2763258</v>
      </c>
      <c r="C5" s="246">
        <f>SUM(C6:C16)</f>
        <v>2763258</v>
      </c>
      <c r="D5" s="467">
        <f>C5/B5*100</f>
        <v>100</v>
      </c>
    </row>
    <row r="6" spans="1:4" ht="28.5">
      <c r="A6" s="342" t="s">
        <v>1241</v>
      </c>
      <c r="B6" s="343">
        <v>2276</v>
      </c>
      <c r="C6" s="343">
        <v>2276</v>
      </c>
      <c r="D6" s="221">
        <f>C6/B6*100</f>
        <v>100</v>
      </c>
    </row>
    <row r="7" spans="1:4" ht="28.5">
      <c r="A7" s="342" t="s">
        <v>2127</v>
      </c>
      <c r="B7" s="343">
        <v>2239314</v>
      </c>
      <c r="C7" s="343">
        <v>2239314</v>
      </c>
      <c r="D7" s="221">
        <f t="shared" ref="D7:D16" si="0">C7/B7*100</f>
        <v>100</v>
      </c>
    </row>
    <row r="8" spans="1:4" ht="28.5">
      <c r="A8" s="342" t="s">
        <v>231</v>
      </c>
      <c r="B8" s="343">
        <v>108658</v>
      </c>
      <c r="C8" s="343">
        <v>108658</v>
      </c>
      <c r="D8" s="221">
        <f t="shared" si="0"/>
        <v>100</v>
      </c>
    </row>
    <row r="9" spans="1:4" ht="14.25">
      <c r="A9" s="342" t="s">
        <v>80</v>
      </c>
      <c r="B9" s="343">
        <v>9740</v>
      </c>
      <c r="C9" s="343">
        <v>9740</v>
      </c>
      <c r="D9" s="221">
        <f t="shared" si="0"/>
        <v>100</v>
      </c>
    </row>
    <row r="10" spans="1:4" ht="14.25">
      <c r="A10" s="342" t="s">
        <v>135</v>
      </c>
      <c r="B10" s="343">
        <v>47736</v>
      </c>
      <c r="C10" s="343">
        <v>47736</v>
      </c>
      <c r="D10" s="221">
        <f t="shared" si="0"/>
        <v>100</v>
      </c>
    </row>
    <row r="11" spans="1:4" ht="28.5">
      <c r="A11" s="342" t="s">
        <v>136</v>
      </c>
      <c r="B11" s="343">
        <v>4402</v>
      </c>
      <c r="C11" s="343">
        <v>4402</v>
      </c>
      <c r="D11" s="221">
        <f t="shared" si="0"/>
        <v>100</v>
      </c>
    </row>
    <row r="12" spans="1:4" ht="14.25">
      <c r="A12" s="342" t="s">
        <v>81</v>
      </c>
      <c r="B12" s="343">
        <v>26363</v>
      </c>
      <c r="C12" s="343">
        <v>26363</v>
      </c>
      <c r="D12" s="221">
        <f t="shared" si="0"/>
        <v>100</v>
      </c>
    </row>
    <row r="13" spans="1:4" ht="28.5">
      <c r="A13" s="342" t="s">
        <v>1242</v>
      </c>
      <c r="B13" s="343">
        <v>86523</v>
      </c>
      <c r="C13" s="343">
        <v>86523</v>
      </c>
      <c r="D13" s="221">
        <f t="shared" si="0"/>
        <v>100</v>
      </c>
    </row>
    <row r="14" spans="1:4" ht="14.25">
      <c r="A14" s="342" t="s">
        <v>84</v>
      </c>
      <c r="B14" s="343">
        <v>204723</v>
      </c>
      <c r="C14" s="343">
        <v>204723</v>
      </c>
      <c r="D14" s="221">
        <f t="shared" si="0"/>
        <v>100</v>
      </c>
    </row>
    <row r="15" spans="1:4" ht="14.25">
      <c r="A15" s="342" t="s">
        <v>85</v>
      </c>
      <c r="B15" s="343">
        <v>11076</v>
      </c>
      <c r="C15" s="343">
        <v>11076</v>
      </c>
      <c r="D15" s="221">
        <f t="shared" si="0"/>
        <v>100</v>
      </c>
    </row>
    <row r="16" spans="1:4" ht="14.25">
      <c r="A16" s="342" t="s">
        <v>86</v>
      </c>
      <c r="B16" s="343">
        <v>22447</v>
      </c>
      <c r="C16" s="343">
        <v>22447</v>
      </c>
      <c r="D16" s="221">
        <f t="shared" si="0"/>
        <v>100</v>
      </c>
    </row>
  </sheetData>
  <mergeCells count="2">
    <mergeCell ref="A1:D1"/>
    <mergeCell ref="A2:D2"/>
  </mergeCells>
  <pageMargins left="0.7" right="0.24"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rgb="FF92D050"/>
  </sheetPr>
  <dimension ref="A1:D10"/>
  <sheetViews>
    <sheetView workbookViewId="0">
      <selection activeCell="A2" sqref="A2:D2"/>
    </sheetView>
  </sheetViews>
  <sheetFormatPr defaultRowHeight="12.75"/>
  <cols>
    <col min="1" max="1" width="43.140625" customWidth="1"/>
    <col min="2" max="2" width="20" customWidth="1"/>
    <col min="3" max="3" width="15.7109375" customWidth="1"/>
    <col min="4" max="4" width="14" customWidth="1"/>
  </cols>
  <sheetData>
    <row r="1" spans="1:4" ht="42" customHeight="1">
      <c r="A1" s="501" t="str">
        <f>"Приложение №"&amp;H1дороги_50&amp;" к решению
Богучанского районного Совета депутатов
от "&amp;Р1дата&amp;" года №"</f>
        <v>Приложение №16 к решению
Богучанского районного Совета депутатов
от  года №</v>
      </c>
      <c r="B1" s="501"/>
      <c r="C1" s="501"/>
      <c r="D1" s="501"/>
    </row>
    <row r="2" spans="1:4" ht="132.75" customHeight="1">
      <c r="A2" s="512" t="s">
        <v>2300</v>
      </c>
      <c r="B2" s="512"/>
      <c r="C2" s="512"/>
      <c r="D2" s="512"/>
    </row>
    <row r="3" spans="1:4">
      <c r="A3" s="3"/>
      <c r="B3" s="8" t="s">
        <v>69</v>
      </c>
    </row>
    <row r="4" spans="1:4" ht="28.5">
      <c r="A4" s="32" t="s">
        <v>21</v>
      </c>
      <c r="B4" s="22" t="s">
        <v>2264</v>
      </c>
      <c r="C4" s="22" t="s">
        <v>2286</v>
      </c>
      <c r="D4" s="22" t="s">
        <v>2263</v>
      </c>
    </row>
    <row r="5" spans="1:4" ht="15">
      <c r="A5" s="458" t="s">
        <v>70</v>
      </c>
      <c r="B5" s="359">
        <f>SUM(B6:B10)</f>
        <v>6568154</v>
      </c>
      <c r="C5" s="359">
        <f>SUM(C6:C10)</f>
        <v>6500685.5</v>
      </c>
      <c r="D5" s="480">
        <f>C5/B5*100</f>
        <v>98.972793573354096</v>
      </c>
    </row>
    <row r="6" spans="1:4" ht="24" customHeight="1">
      <c r="A6" s="478" t="s">
        <v>624</v>
      </c>
      <c r="B6" s="47">
        <v>1499300</v>
      </c>
      <c r="C6" s="215">
        <v>1431831.5</v>
      </c>
      <c r="D6" s="480">
        <f t="shared" ref="D6:D10" si="0">C6/B6*100</f>
        <v>95.5</v>
      </c>
    </row>
    <row r="7" spans="1:4" ht="14.25">
      <c r="A7" s="479" t="s">
        <v>58</v>
      </c>
      <c r="B7" s="215">
        <v>1628063</v>
      </c>
      <c r="C7" s="215">
        <v>1628063</v>
      </c>
      <c r="D7" s="480">
        <f t="shared" si="0"/>
        <v>100</v>
      </c>
    </row>
    <row r="8" spans="1:4" ht="14.25">
      <c r="A8" s="479" t="s">
        <v>59</v>
      </c>
      <c r="B8" s="215">
        <v>694892</v>
      </c>
      <c r="C8" s="215">
        <v>694892</v>
      </c>
      <c r="D8" s="480">
        <f t="shared" si="0"/>
        <v>100</v>
      </c>
    </row>
    <row r="9" spans="1:4" ht="14.25">
      <c r="A9" s="479" t="s">
        <v>82</v>
      </c>
      <c r="B9" s="215">
        <v>1405217</v>
      </c>
      <c r="C9" s="215">
        <v>1405217</v>
      </c>
      <c r="D9" s="480">
        <f t="shared" si="0"/>
        <v>100</v>
      </c>
    </row>
    <row r="10" spans="1:4" ht="14.25">
      <c r="A10" s="479" t="s">
        <v>84</v>
      </c>
      <c r="B10" s="215">
        <v>1340682</v>
      </c>
      <c r="C10" s="215">
        <v>1340682</v>
      </c>
      <c r="D10" s="480">
        <f t="shared" si="0"/>
        <v>100</v>
      </c>
    </row>
  </sheetData>
  <mergeCells count="2">
    <mergeCell ref="A1:D1"/>
    <mergeCell ref="A2:D2"/>
  </mergeCells>
  <pageMargins left="0.7" right="0.33"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sheetPr>
    <tabColor rgb="FF92D050"/>
  </sheetPr>
  <dimension ref="A1:D22"/>
  <sheetViews>
    <sheetView workbookViewId="0">
      <selection activeCell="K27" sqref="K27"/>
    </sheetView>
  </sheetViews>
  <sheetFormatPr defaultRowHeight="12.75"/>
  <cols>
    <col min="1" max="1" width="46.7109375" customWidth="1"/>
    <col min="2" max="2" width="17.28515625" customWidth="1"/>
    <col min="3" max="3" width="14.140625" customWidth="1"/>
  </cols>
  <sheetData>
    <row r="1" spans="1:4" ht="46.5" customHeight="1">
      <c r="A1" s="485" t="str">
        <f>"Приложение №"&amp;Н1рег_вып&amp;" к решению
Богучанского районного Совета депутатов
от "&amp;Р1дата&amp;" года №"&amp;Р1номер</f>
        <v>Приложение №17 к решению
Богучанского районного Совета депутатов
от  года №</v>
      </c>
      <c r="B1" s="485"/>
      <c r="C1" s="485"/>
      <c r="D1" s="485"/>
    </row>
    <row r="2" spans="1:4" ht="109.5" customHeight="1">
      <c r="A2" s="484" t="s">
        <v>2301</v>
      </c>
      <c r="B2" s="484"/>
      <c r="C2" s="484"/>
      <c r="D2" s="484"/>
    </row>
    <row r="3" spans="1:4">
      <c r="A3" s="3"/>
      <c r="B3" s="8"/>
    </row>
    <row r="4" spans="1:4" ht="42.75">
      <c r="A4" s="22" t="s">
        <v>21</v>
      </c>
      <c r="B4" s="22" t="s">
        <v>2264</v>
      </c>
      <c r="C4" s="22" t="s">
        <v>2286</v>
      </c>
      <c r="D4" s="22" t="s">
        <v>2263</v>
      </c>
    </row>
    <row r="5" spans="1:4" ht="15">
      <c r="A5" s="247" t="s">
        <v>70</v>
      </c>
      <c r="B5" s="246">
        <f>SUM(B6:B25)</f>
        <v>1829220</v>
      </c>
      <c r="C5" s="246">
        <f>SUM(C6:C25)</f>
        <v>1829220</v>
      </c>
      <c r="D5" s="477">
        <f>C5/B5*100</f>
        <v>100</v>
      </c>
    </row>
    <row r="6" spans="1:4" ht="14.25">
      <c r="A6" s="248" t="s">
        <v>57</v>
      </c>
      <c r="B6" s="249">
        <v>136764</v>
      </c>
      <c r="C6" s="249">
        <v>136764</v>
      </c>
      <c r="D6" s="477">
        <f t="shared" ref="D6:D22" si="0">C6/B6*100</f>
        <v>100</v>
      </c>
    </row>
    <row r="7" spans="1:4" ht="14.25">
      <c r="A7" s="248" t="s">
        <v>79</v>
      </c>
      <c r="B7" s="249">
        <v>113970</v>
      </c>
      <c r="C7" s="249">
        <v>113970</v>
      </c>
      <c r="D7" s="477">
        <f t="shared" si="0"/>
        <v>100</v>
      </c>
    </row>
    <row r="8" spans="1:4" ht="28.5">
      <c r="A8" s="248" t="s">
        <v>1241</v>
      </c>
      <c r="B8" s="249">
        <v>113970</v>
      </c>
      <c r="C8" s="249">
        <v>113970</v>
      </c>
      <c r="D8" s="477">
        <f t="shared" si="0"/>
        <v>100</v>
      </c>
    </row>
    <row r="9" spans="1:4" ht="14.25">
      <c r="A9" s="248" t="s">
        <v>59</v>
      </c>
      <c r="B9" s="249">
        <v>136764</v>
      </c>
      <c r="C9" s="249">
        <v>136764</v>
      </c>
      <c r="D9" s="477">
        <f t="shared" si="0"/>
        <v>100</v>
      </c>
    </row>
    <row r="10" spans="1:4" ht="28.5">
      <c r="A10" s="248" t="s">
        <v>231</v>
      </c>
      <c r="B10" s="249">
        <v>136764</v>
      </c>
      <c r="C10" s="249">
        <v>136764</v>
      </c>
      <c r="D10" s="477">
        <f t="shared" si="0"/>
        <v>100</v>
      </c>
    </row>
    <row r="11" spans="1:4" ht="14.25">
      <c r="A11" s="248" t="s">
        <v>80</v>
      </c>
      <c r="B11" s="249">
        <v>68382</v>
      </c>
      <c r="C11" s="249">
        <v>68382</v>
      </c>
      <c r="D11" s="477">
        <f t="shared" si="0"/>
        <v>100</v>
      </c>
    </row>
    <row r="12" spans="1:4" ht="14.25">
      <c r="A12" s="248" t="s">
        <v>135</v>
      </c>
      <c r="B12" s="249">
        <v>239338</v>
      </c>
      <c r="C12" s="249">
        <v>239338</v>
      </c>
      <c r="D12" s="477">
        <f t="shared" si="0"/>
        <v>100</v>
      </c>
    </row>
    <row r="13" spans="1:4" ht="14.25">
      <c r="A13" s="248" t="s">
        <v>81</v>
      </c>
      <c r="B13" s="249">
        <v>68382</v>
      </c>
      <c r="C13" s="249">
        <v>68382</v>
      </c>
      <c r="D13" s="477">
        <f t="shared" si="0"/>
        <v>100</v>
      </c>
    </row>
    <row r="14" spans="1:4" ht="28.5">
      <c r="A14" s="248" t="s">
        <v>136</v>
      </c>
      <c r="B14" s="249">
        <v>68382</v>
      </c>
      <c r="C14" s="249">
        <v>68382</v>
      </c>
      <c r="D14" s="477">
        <f t="shared" si="0"/>
        <v>100</v>
      </c>
    </row>
    <row r="15" spans="1:4" ht="28.5">
      <c r="A15" s="248" t="s">
        <v>1242</v>
      </c>
      <c r="B15" s="249">
        <v>45588</v>
      </c>
      <c r="C15" s="249">
        <v>45588</v>
      </c>
      <c r="D15" s="477">
        <f t="shared" si="0"/>
        <v>100</v>
      </c>
    </row>
    <row r="16" spans="1:4" ht="14.25">
      <c r="A16" s="248" t="s">
        <v>83</v>
      </c>
      <c r="B16" s="249">
        <v>159558</v>
      </c>
      <c r="C16" s="249">
        <v>159558</v>
      </c>
      <c r="D16" s="477">
        <f t="shared" si="0"/>
        <v>100</v>
      </c>
    </row>
    <row r="17" spans="1:4" ht="14.25">
      <c r="A17" s="248" t="s">
        <v>82</v>
      </c>
      <c r="B17" s="249">
        <v>113970</v>
      </c>
      <c r="C17" s="249">
        <v>113970</v>
      </c>
      <c r="D17" s="477">
        <f t="shared" si="0"/>
        <v>100</v>
      </c>
    </row>
    <row r="18" spans="1:4" ht="14.25">
      <c r="A18" s="248" t="s">
        <v>85</v>
      </c>
      <c r="B18" s="249">
        <v>45588</v>
      </c>
      <c r="C18" s="249">
        <v>45588</v>
      </c>
      <c r="D18" s="477">
        <f t="shared" si="0"/>
        <v>100</v>
      </c>
    </row>
    <row r="19" spans="1:4" ht="14.25">
      <c r="A19" s="248" t="s">
        <v>1243</v>
      </c>
      <c r="B19" s="249">
        <v>68382</v>
      </c>
      <c r="C19" s="249">
        <v>68382</v>
      </c>
      <c r="D19" s="477">
        <f t="shared" si="0"/>
        <v>100</v>
      </c>
    </row>
    <row r="20" spans="1:4" ht="14.25">
      <c r="A20" s="248" t="s">
        <v>138</v>
      </c>
      <c r="B20" s="249">
        <v>68382</v>
      </c>
      <c r="C20" s="249">
        <v>68382</v>
      </c>
      <c r="D20" s="477">
        <f t="shared" si="0"/>
        <v>100</v>
      </c>
    </row>
    <row r="21" spans="1:4" ht="14.25">
      <c r="A21" s="248" t="s">
        <v>139</v>
      </c>
      <c r="B21" s="249">
        <v>113970</v>
      </c>
      <c r="C21" s="249">
        <v>113970</v>
      </c>
      <c r="D21" s="477">
        <f t="shared" si="0"/>
        <v>100</v>
      </c>
    </row>
    <row r="22" spans="1:4" ht="14.25">
      <c r="A22" s="248" t="s">
        <v>86</v>
      </c>
      <c r="B22" s="249">
        <v>131066</v>
      </c>
      <c r="C22" s="249">
        <v>131066</v>
      </c>
      <c r="D22" s="477">
        <f t="shared" si="0"/>
        <v>100</v>
      </c>
    </row>
  </sheetData>
  <mergeCells count="2">
    <mergeCell ref="A1:D1"/>
    <mergeCell ref="A2:D2"/>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dimension ref="A1:D9"/>
  <sheetViews>
    <sheetView workbookViewId="0">
      <selection activeCell="B10" sqref="B10"/>
    </sheetView>
  </sheetViews>
  <sheetFormatPr defaultRowHeight="12.75"/>
  <cols>
    <col min="1" max="1" width="56.42578125" customWidth="1"/>
    <col min="2" max="2" width="23.85546875" customWidth="1"/>
    <col min="3" max="4" width="15" customWidth="1"/>
  </cols>
  <sheetData>
    <row r="1" spans="1:4" ht="45.75" customHeight="1">
      <c r="A1" s="485" t="str">
        <f>"Приложение №"&amp;Н2гор_среда&amp;"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85"/>
      <c r="C1" s="52"/>
      <c r="D1" s="52"/>
    </row>
    <row r="2" spans="1:4" ht="45" customHeight="1">
      <c r="A2" s="485" t="str">
        <f>"Приложение №"&amp;Н1гор_среда&amp;" к решению
Богучанского районного Совета депутатов
от "&amp;Р1дата&amp;" года №"&amp;Р1номер</f>
        <v>Приложение № к решению
Богучанского районного Совета депутатов
от  года №</v>
      </c>
      <c r="B2" s="485"/>
      <c r="C2" s="52"/>
      <c r="D2" s="52"/>
    </row>
    <row r="3" spans="1:4" ht="180" customHeight="1">
      <c r="A3" s="538" t="s">
        <v>1794</v>
      </c>
      <c r="B3" s="538"/>
      <c r="C3" s="236"/>
      <c r="D3" s="236"/>
    </row>
    <row r="4" spans="1:4">
      <c r="A4" s="3"/>
      <c r="B4" s="8" t="s">
        <v>69</v>
      </c>
      <c r="C4" s="8"/>
    </row>
    <row r="5" spans="1:4">
      <c r="A5" s="32" t="s">
        <v>21</v>
      </c>
      <c r="B5" s="32" t="s">
        <v>1340</v>
      </c>
    </row>
    <row r="6" spans="1:4" ht="15">
      <c r="A6" s="235" t="s">
        <v>70</v>
      </c>
      <c r="B6" s="35">
        <f>SUM(B7:B10)</f>
        <v>0</v>
      </c>
    </row>
    <row r="7" spans="1:4" ht="15">
      <c r="A7" s="10" t="s">
        <v>1243</v>
      </c>
      <c r="B7" s="293"/>
    </row>
    <row r="8" spans="1:4" ht="14.25" hidden="1">
      <c r="A8" s="10" t="s">
        <v>1235</v>
      </c>
      <c r="B8" s="25"/>
    </row>
    <row r="9" spans="1:4" ht="14.25" hidden="1">
      <c r="A9" s="10" t="s">
        <v>138</v>
      </c>
      <c r="B9" s="25"/>
    </row>
  </sheetData>
  <mergeCells count="3">
    <mergeCell ref="A1:B1"/>
    <mergeCell ref="A2:B2"/>
    <mergeCell ref="A3:B3"/>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dimension ref="A1:I21"/>
  <sheetViews>
    <sheetView workbookViewId="0">
      <selection activeCell="B22" sqref="B22"/>
    </sheetView>
  </sheetViews>
  <sheetFormatPr defaultRowHeight="12.75"/>
  <cols>
    <col min="1" max="1" width="57.85546875" customWidth="1"/>
    <col min="2" max="2" width="27" customWidth="1"/>
    <col min="3" max="3" width="14.42578125" hidden="1" customWidth="1"/>
    <col min="4" max="4" width="14.28515625" hidden="1" customWidth="1"/>
  </cols>
  <sheetData>
    <row r="1" spans="1:4" ht="45.75" customHeight="1">
      <c r="A1" s="485" t="str">
        <f>"Приложение №"&amp;H1УДС&amp;"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85"/>
      <c r="C1" s="485"/>
      <c r="D1" s="485"/>
    </row>
    <row r="2" spans="1:4" ht="63" customHeight="1">
      <c r="A2" s="485" t="str">
        <f>"Приложение №"&amp;H2УДС&amp;" к решению
Богучанского районного Совета депутатов
от "&amp;Р1дата&amp;" года №"&amp;Р1номер</f>
        <v>Приложение № к решению
Богучанского районного Совета депутатов
от  года №</v>
      </c>
      <c r="B2" s="485"/>
      <c r="C2" s="485"/>
      <c r="D2" s="485"/>
    </row>
    <row r="3" spans="1:4" ht="90" customHeight="1">
      <c r="A3" s="538" t="s">
        <v>1746</v>
      </c>
      <c r="B3" s="538"/>
      <c r="C3" s="538"/>
      <c r="D3" s="538"/>
    </row>
    <row r="4" spans="1:4">
      <c r="A4" s="154"/>
      <c r="B4" s="8"/>
      <c r="C4" s="8"/>
      <c r="D4" s="155" t="s">
        <v>69</v>
      </c>
    </row>
    <row r="5" spans="1:4" ht="15">
      <c r="A5" s="22" t="s">
        <v>21</v>
      </c>
      <c r="B5" s="22" t="s">
        <v>1244</v>
      </c>
      <c r="C5" s="169" t="s">
        <v>1244</v>
      </c>
      <c r="D5" s="169" t="s">
        <v>1339</v>
      </c>
    </row>
    <row r="6" spans="1:4" ht="15">
      <c r="A6" s="341" t="s">
        <v>70</v>
      </c>
      <c r="B6" s="246">
        <f>SUM(B7:B21)</f>
        <v>0</v>
      </c>
      <c r="C6" s="246">
        <f>SUM(C7:C21)</f>
        <v>0</v>
      </c>
      <c r="D6" s="246">
        <f>SUM(D7:D21)</f>
        <v>0</v>
      </c>
    </row>
    <row r="7" spans="1:4" ht="15" hidden="1">
      <c r="A7" s="342" t="s">
        <v>57</v>
      </c>
      <c r="B7" s="343"/>
      <c r="C7" s="157"/>
      <c r="D7" s="157"/>
    </row>
    <row r="8" spans="1:4" ht="15" hidden="1">
      <c r="A8" s="342" t="s">
        <v>1614</v>
      </c>
      <c r="B8" s="343"/>
      <c r="C8" s="157"/>
      <c r="D8" s="157"/>
    </row>
    <row r="9" spans="1:4" ht="15" hidden="1">
      <c r="A9" s="342" t="s">
        <v>164</v>
      </c>
      <c r="B9" s="343"/>
      <c r="C9" s="157"/>
      <c r="D9" s="157"/>
    </row>
    <row r="10" spans="1:4" ht="14.25" hidden="1">
      <c r="A10" s="342" t="s">
        <v>58</v>
      </c>
      <c r="B10" s="343"/>
      <c r="C10" s="287"/>
      <c r="D10" s="287"/>
    </row>
    <row r="11" spans="1:4">
      <c r="A11" s="344" t="s">
        <v>59</v>
      </c>
      <c r="B11" s="345"/>
    </row>
    <row r="12" spans="1:4" ht="15" hidden="1">
      <c r="A12" s="292" t="s">
        <v>231</v>
      </c>
      <c r="B12" s="293"/>
    </row>
    <row r="13" spans="1:4" ht="15" hidden="1">
      <c r="A13" s="292" t="s">
        <v>1060</v>
      </c>
      <c r="B13" s="293"/>
    </row>
    <row r="14" spans="1:4" ht="15" hidden="1">
      <c r="A14" s="292" t="s">
        <v>135</v>
      </c>
      <c r="B14" s="293"/>
    </row>
    <row r="15" spans="1:4" ht="15" hidden="1">
      <c r="A15" s="292" t="s">
        <v>136</v>
      </c>
      <c r="B15" s="293"/>
    </row>
    <row r="16" spans="1:4" ht="15" hidden="1">
      <c r="A16" s="292" t="s">
        <v>81</v>
      </c>
      <c r="B16" s="293"/>
    </row>
    <row r="17" spans="1:9" ht="15" hidden="1">
      <c r="A17" s="292" t="s">
        <v>83</v>
      </c>
      <c r="B17" s="293"/>
    </row>
    <row r="18" spans="1:9" ht="15" hidden="1">
      <c r="A18" s="292" t="s">
        <v>165</v>
      </c>
      <c r="B18" s="293"/>
    </row>
    <row r="19" spans="1:9" ht="15" hidden="1">
      <c r="A19" s="292" t="s">
        <v>82</v>
      </c>
      <c r="B19" s="300"/>
    </row>
    <row r="20" spans="1:9" ht="15" hidden="1">
      <c r="A20" s="292" t="s">
        <v>1615</v>
      </c>
    </row>
    <row r="21" spans="1:9" ht="15" hidden="1">
      <c r="A21" s="292" t="s">
        <v>86</v>
      </c>
      <c r="B21" s="300"/>
      <c r="I21" t="s">
        <v>1645</v>
      </c>
    </row>
  </sheetData>
  <mergeCells count="3">
    <mergeCell ref="A1:D1"/>
    <mergeCell ref="A2:D2"/>
    <mergeCell ref="A3:D3"/>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dimension ref="A1:D11"/>
  <sheetViews>
    <sheetView workbookViewId="0">
      <selection activeCell="B7" sqref="B7:B11"/>
    </sheetView>
  </sheetViews>
  <sheetFormatPr defaultRowHeight="12.75"/>
  <cols>
    <col min="1" max="1" width="55.5703125" customWidth="1"/>
    <col min="2" max="2" width="27" customWidth="1"/>
    <col min="3" max="3" width="14.42578125" hidden="1" customWidth="1"/>
    <col min="4" max="4" width="14.28515625" hidden="1" customWidth="1"/>
  </cols>
  <sheetData>
    <row r="1" spans="1:4" ht="45.75" customHeight="1">
      <c r="A1" s="485" t="str">
        <f>"Приложение №"&amp;H2благ&amp;"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85"/>
      <c r="C1" s="485"/>
      <c r="D1" s="485"/>
    </row>
    <row r="2" spans="1:4" ht="63" customHeight="1">
      <c r="A2" s="485" t="str">
        <f>"Приложение №"&amp;H1благ&amp;" к решению
Богучанского районного Совета депутатов
от "&amp;Р1дата&amp;" года №"&amp;Р1номер</f>
        <v>Приложение № к решению
Богучанского районного Совета депутатов
от  года №</v>
      </c>
      <c r="B2" s="485"/>
      <c r="C2" s="485"/>
      <c r="D2" s="485"/>
    </row>
    <row r="3" spans="1:4" ht="137.25" customHeight="1">
      <c r="A3" s="538" t="s">
        <v>1801</v>
      </c>
      <c r="B3" s="538"/>
      <c r="C3" s="538"/>
      <c r="D3" s="538"/>
    </row>
    <row r="4" spans="1:4">
      <c r="A4" s="154"/>
      <c r="B4" s="8"/>
      <c r="C4" s="8"/>
      <c r="D4" s="155" t="s">
        <v>69</v>
      </c>
    </row>
    <row r="5" spans="1:4" ht="15">
      <c r="A5" s="22" t="s">
        <v>21</v>
      </c>
      <c r="B5" s="22" t="s">
        <v>1244</v>
      </c>
      <c r="C5" s="169" t="s">
        <v>1244</v>
      </c>
      <c r="D5" s="169" t="s">
        <v>1339</v>
      </c>
    </row>
    <row r="6" spans="1:4" ht="15">
      <c r="A6" s="341" t="s">
        <v>70</v>
      </c>
      <c r="B6" s="246">
        <f>SUM(B7:B11)</f>
        <v>0</v>
      </c>
      <c r="C6" s="246">
        <f>SUM(C8:C11)</f>
        <v>0</v>
      </c>
      <c r="D6" s="246">
        <f>SUM(D8:D11)</f>
        <v>0</v>
      </c>
    </row>
    <row r="7" spans="1:4" ht="15">
      <c r="A7" s="344" t="s">
        <v>1614</v>
      </c>
      <c r="B7" s="346"/>
      <c r="C7" s="246"/>
      <c r="D7" s="246"/>
    </row>
    <row r="8" spans="1:4" ht="15">
      <c r="A8" s="344" t="s">
        <v>59</v>
      </c>
      <c r="B8" s="345"/>
      <c r="C8" s="157"/>
      <c r="D8" s="157"/>
    </row>
    <row r="9" spans="1:4" ht="15">
      <c r="A9" s="344" t="s">
        <v>1802</v>
      </c>
      <c r="B9" s="345"/>
      <c r="C9" s="157"/>
      <c r="D9" s="157"/>
    </row>
    <row r="10" spans="1:4" ht="15">
      <c r="A10" s="344" t="s">
        <v>138</v>
      </c>
      <c r="B10" s="345"/>
      <c r="C10" s="157"/>
      <c r="D10" s="157"/>
    </row>
    <row r="11" spans="1:4" ht="14.25">
      <c r="A11" s="344" t="s">
        <v>86</v>
      </c>
      <c r="B11" s="345"/>
      <c r="C11" s="287"/>
      <c r="D11" s="287"/>
    </row>
  </sheetData>
  <mergeCells count="3">
    <mergeCell ref="A1:D1"/>
    <mergeCell ref="A2:D2"/>
    <mergeCell ref="A3:D3"/>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dimension ref="A1:D24"/>
  <sheetViews>
    <sheetView workbookViewId="0">
      <selection activeCell="B16" sqref="B16:B17"/>
    </sheetView>
  </sheetViews>
  <sheetFormatPr defaultRowHeight="12.75"/>
  <cols>
    <col min="1" max="1" width="59.7109375" customWidth="1"/>
    <col min="2" max="2" width="27" customWidth="1"/>
    <col min="3" max="3" width="14.42578125" hidden="1" customWidth="1"/>
    <col min="4" max="4" width="14.28515625" hidden="1" customWidth="1"/>
  </cols>
  <sheetData>
    <row r="1" spans="1:4" ht="45.75" customHeight="1">
      <c r="A1" s="485" t="str">
        <f>"Приложение №"&amp;H2благмалое&amp;"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85"/>
      <c r="C1" s="485"/>
      <c r="D1" s="485"/>
    </row>
    <row r="2" spans="1:4" ht="63" customHeight="1">
      <c r="A2" s="485" t="str">
        <f>"Приложение №"&amp;H1благмалое&amp;" к решению
Богучанского районного Совета депутатов
от "&amp;Р1дата&amp;" года №"&amp;Р1номер</f>
        <v>Приложение № к решению
Богучанского районного Совета депутатов
от  года №</v>
      </c>
      <c r="B2" s="485"/>
      <c r="C2" s="485"/>
      <c r="D2" s="485"/>
    </row>
    <row r="3" spans="1:4" ht="90" customHeight="1">
      <c r="A3" s="538" t="s">
        <v>1803</v>
      </c>
      <c r="B3" s="538"/>
      <c r="C3" s="538"/>
      <c r="D3" s="538"/>
    </row>
    <row r="4" spans="1:4">
      <c r="A4" s="154"/>
      <c r="B4" s="8"/>
      <c r="C4" s="8"/>
      <c r="D4" s="155" t="s">
        <v>69</v>
      </c>
    </row>
    <row r="5" spans="1:4" ht="15">
      <c r="A5" s="169" t="s">
        <v>21</v>
      </c>
      <c r="B5" s="169" t="s">
        <v>1244</v>
      </c>
      <c r="C5" s="169" t="s">
        <v>1244</v>
      </c>
      <c r="D5" s="169" t="s">
        <v>1339</v>
      </c>
    </row>
    <row r="6" spans="1:4" ht="15">
      <c r="A6" s="156" t="s">
        <v>70</v>
      </c>
      <c r="B6" s="246">
        <f>SUM(B7:B24)</f>
        <v>0</v>
      </c>
      <c r="C6" s="246">
        <f>SUM(C7:C24)</f>
        <v>0</v>
      </c>
      <c r="D6" s="246">
        <f>SUM(D7:D24)</f>
        <v>0</v>
      </c>
    </row>
    <row r="7" spans="1:4" ht="15" hidden="1">
      <c r="A7" s="40" t="s">
        <v>57</v>
      </c>
      <c r="B7" s="244"/>
      <c r="C7" s="157"/>
      <c r="D7" s="157"/>
    </row>
    <row r="8" spans="1:4" ht="15" hidden="1">
      <c r="A8" s="40" t="s">
        <v>79</v>
      </c>
      <c r="B8" s="244"/>
      <c r="C8" s="157"/>
      <c r="D8" s="157"/>
    </row>
    <row r="9" spans="1:4" ht="15" hidden="1">
      <c r="A9" s="40" t="s">
        <v>164</v>
      </c>
      <c r="B9" s="244"/>
      <c r="C9" s="157"/>
      <c r="D9" s="157"/>
    </row>
    <row r="10" spans="1:4" ht="14.25" hidden="1">
      <c r="A10" s="41" t="s">
        <v>58</v>
      </c>
      <c r="B10" s="245"/>
      <c r="C10" s="287"/>
      <c r="D10" s="287"/>
    </row>
    <row r="11" spans="1:4" ht="14.25" hidden="1">
      <c r="A11" s="285" t="s">
        <v>59</v>
      </c>
      <c r="B11" s="286"/>
    </row>
    <row r="12" spans="1:4" ht="14.25" hidden="1">
      <c r="A12" s="42" t="s">
        <v>231</v>
      </c>
      <c r="B12" s="245"/>
    </row>
    <row r="13" spans="1:4" ht="14.25" hidden="1">
      <c r="A13" s="40" t="s">
        <v>80</v>
      </c>
      <c r="B13" s="245"/>
    </row>
    <row r="14" spans="1:4" ht="14.25" hidden="1">
      <c r="A14" s="40" t="s">
        <v>135</v>
      </c>
      <c r="B14" s="245"/>
    </row>
    <row r="15" spans="1:4" ht="14.25" hidden="1">
      <c r="A15" s="40" t="s">
        <v>136</v>
      </c>
      <c r="B15" s="245"/>
    </row>
    <row r="16" spans="1:4">
      <c r="A16" s="347" t="s">
        <v>81</v>
      </c>
      <c r="B16" s="349"/>
    </row>
    <row r="17" spans="1:2">
      <c r="A17" s="348" t="s">
        <v>83</v>
      </c>
      <c r="B17" s="349"/>
    </row>
    <row r="18" spans="1:2" ht="14.25" hidden="1">
      <c r="A18" s="40" t="s">
        <v>165</v>
      </c>
      <c r="B18" s="245"/>
    </row>
    <row r="19" spans="1:2" ht="14.25" hidden="1">
      <c r="A19" s="40" t="s">
        <v>82</v>
      </c>
      <c r="B19" s="245"/>
    </row>
    <row r="20" spans="1:2" ht="14.25" hidden="1">
      <c r="A20" s="40" t="s">
        <v>84</v>
      </c>
      <c r="B20" s="245"/>
    </row>
    <row r="21" spans="1:2" ht="14.25" hidden="1">
      <c r="A21" s="40" t="s">
        <v>85</v>
      </c>
      <c r="B21" s="245"/>
    </row>
    <row r="22" spans="1:2" ht="14.25" hidden="1">
      <c r="A22" s="40" t="s">
        <v>138</v>
      </c>
      <c r="B22" s="245"/>
    </row>
    <row r="23" spans="1:2" ht="14.25" hidden="1">
      <c r="A23" s="40" t="s">
        <v>139</v>
      </c>
      <c r="B23" s="245"/>
    </row>
    <row r="24" spans="1:2" ht="14.25" hidden="1">
      <c r="A24" s="40" t="s">
        <v>86</v>
      </c>
      <c r="B24" s="245"/>
    </row>
  </sheetData>
  <mergeCells count="3">
    <mergeCell ref="A1:D1"/>
    <mergeCell ref="A2:D2"/>
    <mergeCell ref="A3:D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Лист4">
    <tabColor rgb="FF00B0F0"/>
  </sheetPr>
  <dimension ref="A1:E14"/>
  <sheetViews>
    <sheetView topLeftCell="A2" zoomScaleNormal="75" workbookViewId="0">
      <selection activeCell="A14" sqref="A14:XFD15"/>
    </sheetView>
  </sheetViews>
  <sheetFormatPr defaultRowHeight="15"/>
  <cols>
    <col min="1" max="2" width="8" style="71" customWidth="1"/>
    <col min="3" max="3" width="25.42578125" style="74" customWidth="1"/>
    <col min="4" max="4" width="61" style="72" customWidth="1"/>
    <col min="5" max="5" width="9.140625" style="73"/>
    <col min="6" max="6" width="14.5703125" style="73" customWidth="1"/>
    <col min="7" max="16384" width="9.140625" style="73"/>
  </cols>
  <sheetData>
    <row r="1" spans="1:5" ht="42.75" hidden="1" customHeight="1">
      <c r="A1" s="485" t="str">
        <f>"Приложение "&amp;Н2аист&amp;" к решению
Богучанского районного Совета депутатов
от "&amp;Р2дата&amp;" года №"&amp;Р2номер</f>
        <v>Приложение  к решению
Богучанского районного Совета депутатов
от  года №</v>
      </c>
      <c r="B1" s="485"/>
      <c r="C1" s="485"/>
      <c r="D1" s="485"/>
      <c r="E1" s="55"/>
    </row>
    <row r="2" spans="1:5" s="55" customFormat="1" ht="44.25" customHeight="1">
      <c r="A2" s="485" t="str">
        <f>"Приложение "&amp;Н1аист&amp;" к решению
Богучанского районного Совета депутатов
от "&amp;Р1дата&amp;" года №"&amp;Р1номер</f>
        <v>Приложение  к решению
Богучанского районного Совета депутатов
от  года №</v>
      </c>
      <c r="B2" s="485"/>
      <c r="C2" s="485"/>
      <c r="D2" s="485"/>
    </row>
    <row r="3" spans="1:5" s="55" customFormat="1" ht="65.25" customHeight="1">
      <c r="A3" s="498" t="str">
        <f>"Главные администраторы 
источников внутреннего финансирования дефицита 
районного бюджета на "&amp;год&amp;" год и плановый период "&amp;ПлПер&amp;" годов"</f>
        <v>Главные администраторы 
источников внутреннего финансирования дефицита 
районного бюджета на 2022 год и плановый период 2023-2024 годов</v>
      </c>
      <c r="B3" s="498"/>
      <c r="C3" s="498"/>
      <c r="D3" s="498"/>
    </row>
    <row r="4" spans="1:5" s="55" customFormat="1" ht="13.5" customHeight="1">
      <c r="A4" s="53"/>
      <c r="B4" s="53"/>
      <c r="C4" s="53"/>
      <c r="D4" s="54"/>
    </row>
    <row r="5" spans="1:5" s="59" customFormat="1" ht="15.75" customHeight="1">
      <c r="A5" s="56"/>
      <c r="B5" s="56"/>
      <c r="C5" s="57"/>
      <c r="D5" s="58"/>
    </row>
    <row r="6" spans="1:5" s="61" customFormat="1" ht="42.75">
      <c r="A6" s="60" t="s">
        <v>163</v>
      </c>
      <c r="B6" s="60" t="s">
        <v>168</v>
      </c>
      <c r="C6" s="60" t="s">
        <v>169</v>
      </c>
      <c r="D6" s="60" t="s">
        <v>170</v>
      </c>
    </row>
    <row r="7" spans="1:5" s="56" customFormat="1" ht="30">
      <c r="A7" s="141">
        <v>1</v>
      </c>
      <c r="B7" s="62" t="s">
        <v>208</v>
      </c>
      <c r="C7" s="63"/>
      <c r="D7" s="64" t="s">
        <v>266</v>
      </c>
    </row>
    <row r="8" spans="1:5" s="69" customFormat="1" ht="28.5">
      <c r="A8" s="65">
        <v>2</v>
      </c>
      <c r="B8" s="66" t="s">
        <v>208</v>
      </c>
      <c r="C8" s="67" t="s">
        <v>172</v>
      </c>
      <c r="D8" s="68" t="s">
        <v>1408</v>
      </c>
    </row>
    <row r="9" spans="1:5" s="69" customFormat="1" ht="33.75" customHeight="1">
      <c r="A9" s="65">
        <v>3</v>
      </c>
      <c r="B9" s="66" t="s">
        <v>208</v>
      </c>
      <c r="C9" s="67" t="s">
        <v>101</v>
      </c>
      <c r="D9" s="68" t="s">
        <v>1409</v>
      </c>
    </row>
    <row r="10" spans="1:5" s="69" customFormat="1" ht="42.75">
      <c r="A10" s="65">
        <v>4</v>
      </c>
      <c r="B10" s="66" t="s">
        <v>208</v>
      </c>
      <c r="C10" s="67" t="s">
        <v>1113</v>
      </c>
      <c r="D10" s="68" t="s">
        <v>1410</v>
      </c>
    </row>
    <row r="11" spans="1:5" s="69" customFormat="1" ht="42.75">
      <c r="A11" s="65">
        <v>5</v>
      </c>
      <c r="B11" s="66" t="s">
        <v>208</v>
      </c>
      <c r="C11" s="67" t="s">
        <v>1114</v>
      </c>
      <c r="D11" s="68" t="s">
        <v>36</v>
      </c>
    </row>
    <row r="12" spans="1:5" s="69" customFormat="1" ht="28.5">
      <c r="A12" s="65">
        <v>6</v>
      </c>
      <c r="B12" s="66" t="s">
        <v>208</v>
      </c>
      <c r="C12" s="70" t="s">
        <v>64</v>
      </c>
      <c r="D12" s="68" t="s">
        <v>154</v>
      </c>
    </row>
    <row r="13" spans="1:5" s="69" customFormat="1" ht="28.5">
      <c r="A13" s="65">
        <v>7</v>
      </c>
      <c r="B13" s="66" t="s">
        <v>208</v>
      </c>
      <c r="C13" s="70" t="s">
        <v>65</v>
      </c>
      <c r="D13" s="68" t="s">
        <v>160</v>
      </c>
    </row>
    <row r="14" spans="1:5">
      <c r="C14" s="71"/>
    </row>
  </sheetData>
  <mergeCells count="3">
    <mergeCell ref="A3:D3"/>
    <mergeCell ref="A2:D2"/>
    <mergeCell ref="A1:D1"/>
  </mergeCells>
  <phoneticPr fontId="3" type="noConversion"/>
  <pageMargins left="0.78740157480314965" right="0.39370078740157483" top="0.78740157480314965" bottom="0.78740157480314965" header="0.39370078740157483" footer="0.39370078740157483"/>
  <pageSetup paperSize="9" scale="90" firstPageNumber="849" orientation="portrait" useFirstPageNumber="1" r:id="rId1"/>
  <headerFooter alignWithMargins="0"/>
</worksheet>
</file>

<file path=xl/worksheets/sheet30.xml><?xml version="1.0" encoding="utf-8"?>
<worksheet xmlns="http://schemas.openxmlformats.org/spreadsheetml/2006/main" xmlns:r="http://schemas.openxmlformats.org/officeDocument/2006/relationships">
  <dimension ref="A1:D22"/>
  <sheetViews>
    <sheetView workbookViewId="0">
      <selection activeCell="D23" sqref="D23"/>
    </sheetView>
  </sheetViews>
  <sheetFormatPr defaultRowHeight="12.75"/>
  <cols>
    <col min="1" max="1" width="42.140625" customWidth="1"/>
    <col min="2" max="2" width="17.5703125" customWidth="1"/>
    <col min="3" max="3" width="13.42578125" customWidth="1"/>
    <col min="4" max="4" width="16.28515625" customWidth="1"/>
  </cols>
  <sheetData>
    <row r="1" spans="1:4" ht="45.75" customHeight="1">
      <c r="A1" s="485" t="str">
        <f>"Приложение №"&amp;H2зппов&amp;"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85"/>
      <c r="C1" s="485"/>
      <c r="D1" s="485"/>
    </row>
    <row r="2" spans="1:4" ht="52.5" customHeight="1">
      <c r="A2" s="485" t="str">
        <f>"Приложение №"&amp;H1зппов&amp;" к решению
Богучанского районного Совета депутатов
от "&amp;Р1дата&amp;" года №"&amp;Р1номер</f>
        <v>Приложение № к решению
Богучанского районного Совета депутатов
от  года №</v>
      </c>
      <c r="B2" s="485"/>
      <c r="C2" s="485"/>
      <c r="D2" s="485"/>
    </row>
    <row r="3" spans="1:4" ht="90" customHeight="1">
      <c r="A3" s="538" t="s">
        <v>1816</v>
      </c>
      <c r="B3" s="538"/>
      <c r="C3" s="538"/>
      <c r="D3" s="538"/>
    </row>
    <row r="4" spans="1:4">
      <c r="A4" s="154"/>
      <c r="B4" s="8"/>
      <c r="C4" s="8"/>
      <c r="D4" s="155" t="s">
        <v>69</v>
      </c>
    </row>
    <row r="5" spans="1:4">
      <c r="A5" s="32" t="s">
        <v>21</v>
      </c>
      <c r="B5" s="32" t="s">
        <v>1244</v>
      </c>
      <c r="C5" s="32" t="s">
        <v>1339</v>
      </c>
      <c r="D5" s="32" t="s">
        <v>1741</v>
      </c>
    </row>
    <row r="6" spans="1:4">
      <c r="A6" s="355" t="s">
        <v>70</v>
      </c>
      <c r="B6" s="356">
        <f>SUM(B7:B21)</f>
        <v>0</v>
      </c>
      <c r="C6" s="356">
        <f t="shared" ref="C6" si="0">SUM(C7:C21)</f>
        <v>0</v>
      </c>
      <c r="D6" s="356">
        <f>SUM(D7:D21)</f>
        <v>0</v>
      </c>
    </row>
    <row r="7" spans="1:4">
      <c r="A7" s="344" t="s">
        <v>58</v>
      </c>
      <c r="B7" s="211">
        <v>0</v>
      </c>
      <c r="C7" s="211">
        <v>0</v>
      </c>
      <c r="D7" s="357"/>
    </row>
    <row r="8" spans="1:4" ht="15" hidden="1">
      <c r="A8" s="353"/>
      <c r="B8" s="354"/>
    </row>
    <row r="9" spans="1:4" ht="15" hidden="1">
      <c r="A9" s="292"/>
      <c r="B9" s="294"/>
    </row>
    <row r="10" spans="1:4" ht="15" hidden="1">
      <c r="A10" s="292"/>
      <c r="B10" s="294"/>
    </row>
    <row r="11" spans="1:4" ht="15" hidden="1">
      <c r="A11" s="292"/>
      <c r="B11" s="294"/>
    </row>
    <row r="12" spans="1:4" ht="15" hidden="1">
      <c r="A12" s="292"/>
      <c r="B12" s="294"/>
    </row>
    <row r="13" spans="1:4" ht="15" hidden="1">
      <c r="A13" s="292"/>
      <c r="B13" s="294"/>
    </row>
    <row r="14" spans="1:4" ht="15" hidden="1">
      <c r="A14" s="292"/>
      <c r="B14" s="294"/>
    </row>
    <row r="15" spans="1:4" ht="15" hidden="1">
      <c r="A15" s="292"/>
      <c r="B15" s="294"/>
    </row>
    <row r="16" spans="1:4" ht="15" hidden="1">
      <c r="A16" s="292"/>
      <c r="B16" s="294"/>
    </row>
    <row r="17" spans="1:2" ht="15" hidden="1">
      <c r="A17" s="292"/>
      <c r="B17" s="294"/>
    </row>
    <row r="18" spans="1:2" ht="15" hidden="1">
      <c r="A18" s="295"/>
      <c r="B18" s="294"/>
    </row>
    <row r="19" spans="1:2" ht="15" hidden="1">
      <c r="A19" s="292"/>
      <c r="B19" s="294"/>
    </row>
    <row r="20" spans="1:2" ht="15" hidden="1">
      <c r="A20" s="292"/>
      <c r="B20" s="294"/>
    </row>
    <row r="21" spans="1:2" ht="15" hidden="1">
      <c r="A21" s="295"/>
      <c r="B21" s="294"/>
    </row>
    <row r="22" spans="1:2" hidden="1"/>
  </sheetData>
  <mergeCells count="3">
    <mergeCell ref="A1:D1"/>
    <mergeCell ref="A2:D2"/>
    <mergeCell ref="A3:D3"/>
  </mergeCells>
  <pageMargins left="0.7" right="0.32"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sheetPr>
    <tabColor rgb="FF00B0F0"/>
  </sheetPr>
  <dimension ref="A1:D24"/>
  <sheetViews>
    <sheetView topLeftCell="A2" workbookViewId="0">
      <selection activeCell="B7" sqref="B7:D21"/>
    </sheetView>
  </sheetViews>
  <sheetFormatPr defaultRowHeight="12.75"/>
  <cols>
    <col min="1" max="1" width="42.140625" customWidth="1"/>
    <col min="2" max="2" width="18" customWidth="1"/>
    <col min="3" max="3" width="14.42578125" customWidth="1"/>
    <col min="4" max="4" width="14.28515625" customWidth="1"/>
  </cols>
  <sheetData>
    <row r="1" spans="1:4" ht="27" hidden="1" customHeight="1">
      <c r="A1" s="485" t="str">
        <f>"Приложение №"&amp;H2ДК&amp;"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85"/>
      <c r="C1" s="485"/>
      <c r="D1" s="485"/>
    </row>
    <row r="2" spans="1:4" ht="63" customHeight="1">
      <c r="A2" s="485" t="str">
        <f>"Приложение №"&amp;H1ДК&amp;" к решению
Богучанского районного Совета депутатов
от "&amp;Р1дата&amp;" года №"&amp;Р1номер</f>
        <v>Приложение № к решению
Богучанского районного Совета депутатов
от  года №</v>
      </c>
      <c r="B2" s="485"/>
      <c r="C2" s="485"/>
      <c r="D2" s="485"/>
    </row>
    <row r="3" spans="1:4" ht="107.25" customHeight="1">
      <c r="A3" s="538" t="s">
        <v>1750</v>
      </c>
      <c r="B3" s="538"/>
      <c r="C3" s="538"/>
      <c r="D3" s="538"/>
    </row>
    <row r="4" spans="1:4">
      <c r="A4" s="154"/>
      <c r="B4" s="8"/>
      <c r="C4" s="8"/>
      <c r="D4" s="155" t="s">
        <v>69</v>
      </c>
    </row>
    <row r="5" spans="1:4" ht="14.25">
      <c r="A5" s="22" t="s">
        <v>21</v>
      </c>
      <c r="B5" s="22" t="s">
        <v>1244</v>
      </c>
      <c r="C5" s="22" t="s">
        <v>1339</v>
      </c>
      <c r="D5" s="22" t="s">
        <v>1741</v>
      </c>
    </row>
    <row r="6" spans="1:4" ht="15">
      <c r="A6" s="307" t="s">
        <v>70</v>
      </c>
      <c r="B6" s="246">
        <f>SUM(B7:B24)</f>
        <v>0</v>
      </c>
      <c r="C6" s="246">
        <f>SUM(C7:C24)</f>
        <v>0</v>
      </c>
      <c r="D6" s="246">
        <f>SUM(D7:D24)</f>
        <v>0</v>
      </c>
    </row>
    <row r="7" spans="1:4" ht="14.25">
      <c r="A7" s="40" t="s">
        <v>57</v>
      </c>
      <c r="B7" s="244"/>
      <c r="C7" s="315"/>
      <c r="D7" s="315"/>
    </row>
    <row r="8" spans="1:4" ht="28.5" hidden="1">
      <c r="A8" s="40" t="s">
        <v>79</v>
      </c>
      <c r="B8" s="244"/>
      <c r="C8" s="315"/>
      <c r="D8" s="244"/>
    </row>
    <row r="9" spans="1:4" ht="28.5" hidden="1">
      <c r="A9" s="40" t="s">
        <v>164</v>
      </c>
      <c r="B9" s="244"/>
      <c r="C9" s="315"/>
      <c r="D9" s="244"/>
    </row>
    <row r="10" spans="1:4" ht="14.25">
      <c r="A10" s="41" t="s">
        <v>58</v>
      </c>
      <c r="B10" s="314"/>
      <c r="C10" s="314"/>
      <c r="D10" s="245"/>
    </row>
    <row r="11" spans="1:4" ht="28.5" hidden="1">
      <c r="A11" s="40" t="s">
        <v>59</v>
      </c>
      <c r="B11" s="245"/>
      <c r="C11" s="314"/>
      <c r="D11" s="245"/>
    </row>
    <row r="12" spans="1:4" ht="28.5" hidden="1">
      <c r="A12" s="42" t="s">
        <v>231</v>
      </c>
      <c r="B12" s="245"/>
      <c r="C12" s="314"/>
      <c r="D12" s="245"/>
    </row>
    <row r="13" spans="1:4" ht="28.5" hidden="1">
      <c r="A13" s="40" t="s">
        <v>80</v>
      </c>
      <c r="B13" s="245"/>
      <c r="C13" s="314"/>
      <c r="D13" s="245"/>
    </row>
    <row r="14" spans="1:4" ht="14.25" hidden="1">
      <c r="A14" s="40" t="s">
        <v>135</v>
      </c>
      <c r="B14" s="245"/>
      <c r="C14" s="314"/>
      <c r="D14" s="245"/>
    </row>
    <row r="15" spans="1:4" ht="28.5" hidden="1">
      <c r="A15" s="40" t="s">
        <v>136</v>
      </c>
      <c r="B15" s="245"/>
      <c r="C15" s="314"/>
      <c r="D15" s="245"/>
    </row>
    <row r="16" spans="1:4" ht="28.5">
      <c r="A16" s="40" t="s">
        <v>81</v>
      </c>
      <c r="B16" s="245"/>
      <c r="C16" s="314"/>
      <c r="D16" s="314"/>
    </row>
    <row r="17" spans="1:4" ht="14.25">
      <c r="A17" s="41" t="s">
        <v>83</v>
      </c>
      <c r="B17" s="314"/>
      <c r="C17" s="245"/>
      <c r="D17" s="314"/>
    </row>
    <row r="18" spans="1:4" ht="28.5" hidden="1">
      <c r="A18" s="40" t="s">
        <v>165</v>
      </c>
      <c r="B18" s="314"/>
      <c r="C18" s="245"/>
      <c r="D18" s="245"/>
    </row>
    <row r="19" spans="1:4" ht="14.25" hidden="1">
      <c r="A19" s="40" t="s">
        <v>82</v>
      </c>
      <c r="B19" s="314"/>
      <c r="C19" s="245"/>
      <c r="D19" s="245"/>
    </row>
    <row r="20" spans="1:4" ht="28.5" hidden="1">
      <c r="A20" s="40" t="s">
        <v>84</v>
      </c>
      <c r="B20" s="314"/>
      <c r="C20" s="245"/>
      <c r="D20" s="245"/>
    </row>
    <row r="21" spans="1:4" ht="28.5">
      <c r="A21" s="40" t="s">
        <v>85</v>
      </c>
      <c r="B21" s="314"/>
      <c r="C21" s="314"/>
      <c r="D21" s="245"/>
    </row>
    <row r="22" spans="1:4" ht="28.5" hidden="1">
      <c r="A22" s="40" t="s">
        <v>138</v>
      </c>
      <c r="B22" s="245"/>
      <c r="C22" s="287"/>
      <c r="D22" s="287"/>
    </row>
    <row r="23" spans="1:4" ht="14.25" hidden="1">
      <c r="A23" s="40" t="s">
        <v>139</v>
      </c>
      <c r="B23" s="245"/>
      <c r="C23" s="287"/>
      <c r="D23" s="287"/>
    </row>
    <row r="24" spans="1:4" ht="14.25" hidden="1">
      <c r="A24" s="285" t="s">
        <v>86</v>
      </c>
      <c r="B24" s="286"/>
    </row>
  </sheetData>
  <mergeCells count="3">
    <mergeCell ref="A1:D1"/>
    <mergeCell ref="A2:D2"/>
    <mergeCell ref="A3:D3"/>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dimension ref="A1:G26"/>
  <sheetViews>
    <sheetView topLeftCell="B1" zoomScaleNormal="100" workbookViewId="0">
      <selection activeCell="E8" sqref="E8:G25"/>
    </sheetView>
  </sheetViews>
  <sheetFormatPr defaultRowHeight="12.75"/>
  <cols>
    <col min="1" max="1" width="7" hidden="1" customWidth="1"/>
    <col min="2" max="2" width="45" customWidth="1"/>
    <col min="3" max="3" width="13.28515625" customWidth="1"/>
    <col min="4" max="4" width="6" customWidth="1"/>
    <col min="5" max="5" width="16.5703125" style="266" customWidth="1"/>
    <col min="6" max="6" width="15.85546875" style="266" customWidth="1"/>
    <col min="7" max="7" width="16" style="266" customWidth="1"/>
  </cols>
  <sheetData>
    <row r="1" spans="1:7" ht="51" customHeight="1">
      <c r="A1" s="485" t="str">
        <f>"Приложение №"&amp;Н2Пересел&amp;"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85"/>
      <c r="C1" s="485"/>
      <c r="D1" s="485"/>
      <c r="E1" s="485"/>
      <c r="F1" s="485"/>
      <c r="G1" s="485"/>
    </row>
    <row r="2" spans="1:7" ht="39" customHeight="1">
      <c r="A2" s="485" t="str">
        <f>"Приложение №"&amp;Н1Пересел&amp;" к решению
Богучанского районного Совета депутатов
от "&amp;Р1дата&amp;" года №"&amp;Р1номер</f>
        <v>Приложение № к решению
Богучанского районного Совета депутатов
от  года №</v>
      </c>
      <c r="B2" s="485"/>
      <c r="C2" s="485"/>
      <c r="D2" s="485"/>
      <c r="E2" s="485"/>
      <c r="F2" s="485"/>
      <c r="G2" s="485"/>
    </row>
    <row r="3" spans="1:7" ht="15.75" customHeight="1">
      <c r="A3" s="538"/>
      <c r="B3" s="538"/>
      <c r="C3" s="538"/>
      <c r="D3" s="538"/>
      <c r="E3" s="538"/>
      <c r="F3" s="538"/>
      <c r="G3" s="538"/>
    </row>
    <row r="4" spans="1:7" ht="93" customHeight="1">
      <c r="A4" s="541" t="s">
        <v>1742</v>
      </c>
      <c r="B4" s="541"/>
      <c r="C4" s="541"/>
      <c r="D4" s="541"/>
      <c r="E4" s="541"/>
      <c r="F4" s="541"/>
      <c r="G4" s="541"/>
    </row>
    <row r="5" spans="1:7" ht="15.75">
      <c r="A5" s="257"/>
      <c r="B5" s="258"/>
      <c r="C5" s="258"/>
      <c r="D5" s="258"/>
      <c r="E5" s="258"/>
      <c r="F5" s="258"/>
      <c r="G5" s="258"/>
    </row>
    <row r="6" spans="1:7" ht="15">
      <c r="A6" s="259"/>
      <c r="B6" s="260"/>
      <c r="C6" s="261"/>
      <c r="D6" s="261"/>
      <c r="E6" s="262"/>
      <c r="F6" s="542" t="s">
        <v>69</v>
      </c>
      <c r="G6" s="542"/>
    </row>
    <row r="7" spans="1:7" ht="48">
      <c r="A7" s="263" t="s">
        <v>163</v>
      </c>
      <c r="B7" s="264" t="s">
        <v>114</v>
      </c>
      <c r="C7" s="146" t="s">
        <v>1333</v>
      </c>
      <c r="D7" s="146" t="s">
        <v>1406</v>
      </c>
      <c r="E7" s="265" t="s">
        <v>1743</v>
      </c>
      <c r="F7" s="265" t="s">
        <v>1744</v>
      </c>
      <c r="G7" s="265" t="s">
        <v>1745</v>
      </c>
    </row>
    <row r="8" spans="1:7" ht="45.75" customHeight="1">
      <c r="A8" s="267">
        <v>1</v>
      </c>
      <c r="B8" s="241" t="s">
        <v>456</v>
      </c>
      <c r="C8" s="208" t="s">
        <v>978</v>
      </c>
      <c r="D8" s="268" t="s">
        <v>1173</v>
      </c>
      <c r="E8" s="269"/>
      <c r="F8" s="269"/>
      <c r="G8" s="269"/>
    </row>
    <row r="9" spans="1:7" s="266" customFormat="1" ht="102">
      <c r="A9" s="267">
        <v>2</v>
      </c>
      <c r="B9" s="7" t="s">
        <v>1480</v>
      </c>
      <c r="C9" s="208" t="s">
        <v>1224</v>
      </c>
      <c r="D9" s="208" t="s">
        <v>345</v>
      </c>
      <c r="E9" s="269"/>
      <c r="F9" s="269"/>
      <c r="G9" s="269"/>
    </row>
    <row r="10" spans="1:7" s="266" customFormat="1" ht="25.5">
      <c r="A10" s="267">
        <v>3</v>
      </c>
      <c r="B10" s="7" t="s">
        <v>483</v>
      </c>
      <c r="C10" s="208" t="s">
        <v>993</v>
      </c>
      <c r="D10" s="208"/>
      <c r="E10" s="269"/>
      <c r="F10" s="269"/>
      <c r="G10" s="269"/>
    </row>
    <row r="11" spans="1:7" s="266" customFormat="1" ht="76.5">
      <c r="A11" s="267"/>
      <c r="B11" s="7" t="s">
        <v>1481</v>
      </c>
      <c r="C11" s="321" t="s">
        <v>1227</v>
      </c>
      <c r="D11" s="321" t="s">
        <v>358</v>
      </c>
      <c r="E11" s="291"/>
      <c r="F11" s="282"/>
      <c r="G11" s="282"/>
    </row>
    <row r="12" spans="1:7" s="266" customFormat="1" ht="102">
      <c r="A12" s="267">
        <v>4</v>
      </c>
      <c r="B12" s="322" t="s">
        <v>1375</v>
      </c>
      <c r="C12" s="208" t="s">
        <v>1376</v>
      </c>
      <c r="D12" s="208" t="s">
        <v>358</v>
      </c>
      <c r="E12" s="288"/>
      <c r="F12" s="288"/>
      <c r="G12" s="288"/>
    </row>
    <row r="13" spans="1:7" s="266" customFormat="1" ht="102">
      <c r="A13" s="267"/>
      <c r="B13" s="322" t="s">
        <v>1505</v>
      </c>
      <c r="C13" s="208" t="s">
        <v>1506</v>
      </c>
      <c r="D13" s="290" t="s">
        <v>358</v>
      </c>
      <c r="E13" s="288"/>
      <c r="F13" s="288"/>
      <c r="G13" s="288"/>
    </row>
    <row r="14" spans="1:7" s="266" customFormat="1" ht="114.75">
      <c r="A14" s="267"/>
      <c r="B14" s="7" t="s">
        <v>1640</v>
      </c>
      <c r="C14" s="323" t="s">
        <v>1641</v>
      </c>
      <c r="D14" s="323" t="s">
        <v>358</v>
      </c>
      <c r="E14" s="291"/>
      <c r="F14" s="270"/>
      <c r="G14" s="270"/>
    </row>
    <row r="15" spans="1:7" s="266" customFormat="1" ht="25.5">
      <c r="A15" s="267"/>
      <c r="B15" s="7" t="s">
        <v>1371</v>
      </c>
      <c r="C15" s="208" t="s">
        <v>999</v>
      </c>
      <c r="D15" s="208"/>
      <c r="E15" s="269"/>
      <c r="F15" s="269"/>
      <c r="G15" s="269"/>
    </row>
    <row r="16" spans="1:7" s="266" customFormat="1" ht="167.25" customHeight="1">
      <c r="A16" s="106"/>
      <c r="B16" s="7" t="s">
        <v>1642</v>
      </c>
      <c r="C16" s="323" t="s">
        <v>1643</v>
      </c>
      <c r="D16" s="323" t="s">
        <v>388</v>
      </c>
      <c r="E16" s="291"/>
      <c r="F16" s="269"/>
      <c r="G16" s="269"/>
    </row>
    <row r="17" spans="1:7" s="266" customFormat="1" ht="148.5" customHeight="1">
      <c r="A17" s="106"/>
      <c r="B17" s="7" t="s">
        <v>1814</v>
      </c>
      <c r="C17" s="323" t="s">
        <v>1644</v>
      </c>
      <c r="D17" s="323" t="s">
        <v>388</v>
      </c>
      <c r="E17" s="291"/>
      <c r="F17" s="269"/>
      <c r="G17" s="269"/>
    </row>
    <row r="18" spans="1:7" s="266" customFormat="1" ht="127.5">
      <c r="A18" s="106"/>
      <c r="B18" s="322" t="s">
        <v>1507</v>
      </c>
      <c r="C18" s="208" t="s">
        <v>1508</v>
      </c>
      <c r="D18" s="290" t="s">
        <v>388</v>
      </c>
      <c r="E18" s="269"/>
      <c r="F18" s="269"/>
      <c r="G18" s="269"/>
    </row>
    <row r="19" spans="1:7" s="266" customFormat="1" ht="127.5">
      <c r="A19" s="106"/>
      <c r="B19" s="322" t="s">
        <v>1483</v>
      </c>
      <c r="C19" s="208" t="s">
        <v>1484</v>
      </c>
      <c r="D19" s="208" t="s">
        <v>373</v>
      </c>
      <c r="E19" s="291"/>
      <c r="F19" s="291"/>
      <c r="G19" s="291"/>
    </row>
    <row r="20" spans="1:7" s="266" customFormat="1" ht="165.75" hidden="1">
      <c r="A20" s="106"/>
      <c r="B20" s="322" t="s">
        <v>1485</v>
      </c>
      <c r="C20" s="208" t="s">
        <v>1378</v>
      </c>
      <c r="D20" s="208" t="s">
        <v>439</v>
      </c>
      <c r="E20" s="269"/>
      <c r="F20" s="269"/>
      <c r="G20" s="269"/>
    </row>
    <row r="21" spans="1:7" s="266" customFormat="1" ht="153" hidden="1">
      <c r="A21" s="106"/>
      <c r="B21" s="324" t="s">
        <v>1668</v>
      </c>
      <c r="C21" s="323" t="s">
        <v>1669</v>
      </c>
      <c r="D21" s="323">
        <v>1403</v>
      </c>
      <c r="E21" s="291"/>
      <c r="F21" s="269"/>
      <c r="G21" s="269"/>
    </row>
    <row r="22" spans="1:7" s="266" customFormat="1" ht="127.5">
      <c r="A22" s="106"/>
      <c r="B22" s="325" t="s">
        <v>1772</v>
      </c>
      <c r="C22" s="326" t="s">
        <v>1773</v>
      </c>
      <c r="D22" s="326" t="s">
        <v>388</v>
      </c>
      <c r="E22" s="327"/>
      <c r="F22" s="269"/>
      <c r="G22" s="269"/>
    </row>
    <row r="23" spans="1:7" s="266" customFormat="1" ht="38.25">
      <c r="A23" s="106"/>
      <c r="B23" s="325" t="s">
        <v>596</v>
      </c>
      <c r="C23" s="326" t="s">
        <v>997</v>
      </c>
      <c r="D23" s="326"/>
      <c r="E23" s="269"/>
      <c r="F23" s="269"/>
      <c r="G23" s="269"/>
    </row>
    <row r="24" spans="1:7" s="266" customFormat="1" ht="153">
      <c r="A24" s="106"/>
      <c r="B24" s="325" t="s">
        <v>1737</v>
      </c>
      <c r="C24" s="351" t="s">
        <v>1738</v>
      </c>
      <c r="D24" s="326" t="s">
        <v>386</v>
      </c>
      <c r="E24" s="327"/>
      <c r="F24" s="269"/>
      <c r="G24" s="352"/>
    </row>
    <row r="25" spans="1:7" s="266" customFormat="1" ht="114.75">
      <c r="A25" s="106"/>
      <c r="B25" s="325" t="s">
        <v>1739</v>
      </c>
      <c r="C25" s="351" t="s">
        <v>1740</v>
      </c>
      <c r="D25" s="326" t="s">
        <v>386</v>
      </c>
      <c r="E25" s="327"/>
      <c r="F25" s="269"/>
      <c r="G25" s="352"/>
    </row>
    <row r="26" spans="1:7" ht="15.75">
      <c r="A26" s="3"/>
      <c r="B26" s="539" t="s">
        <v>1407</v>
      </c>
      <c r="C26" s="540"/>
      <c r="D26" s="275"/>
      <c r="E26" s="303">
        <f>SUM(E8+E10+E15)</f>
        <v>0</v>
      </c>
      <c r="F26" s="303">
        <f>SUM(F8+F10+F15)</f>
        <v>0</v>
      </c>
      <c r="G26" s="303">
        <f>SUM(G8+G10+G15+G23)</f>
        <v>0</v>
      </c>
    </row>
  </sheetData>
  <mergeCells count="6">
    <mergeCell ref="B26:C26"/>
    <mergeCell ref="A4:G4"/>
    <mergeCell ref="A1:G1"/>
    <mergeCell ref="A2:G2"/>
    <mergeCell ref="A3:G3"/>
    <mergeCell ref="F6:G6"/>
  </mergeCells>
  <pageMargins left="0.70866141732283472" right="0.70866141732283472" top="0.74803149606299213" bottom="0.55000000000000004" header="0.31496062992125984" footer="0.31496062992125984"/>
  <pageSetup paperSize="9" scale="75" orientation="portrait" r:id="rId1"/>
</worksheet>
</file>

<file path=xl/worksheets/sheet33.xml><?xml version="1.0" encoding="utf-8"?>
<worksheet xmlns="http://schemas.openxmlformats.org/spreadsheetml/2006/main" xmlns:r="http://schemas.openxmlformats.org/officeDocument/2006/relationships">
  <sheetPr codeName="Лист19">
    <tabColor rgb="FF92D050"/>
  </sheetPr>
  <dimension ref="A1:M9"/>
  <sheetViews>
    <sheetView workbookViewId="0">
      <selection activeCell="R11" sqref="R11"/>
    </sheetView>
  </sheetViews>
  <sheetFormatPr defaultRowHeight="14.25"/>
  <cols>
    <col min="1" max="1" width="4.140625" style="26" customWidth="1"/>
    <col min="2" max="2" width="47.42578125" style="30" customWidth="1"/>
    <col min="3" max="3" width="16.28515625" style="30" hidden="1" customWidth="1"/>
    <col min="4" max="6" width="13.42578125" style="31" customWidth="1"/>
    <col min="7" max="7" width="13.42578125" style="31" hidden="1" customWidth="1"/>
    <col min="8" max="8" width="16" style="31" hidden="1" customWidth="1"/>
    <col min="9" max="9" width="14.5703125" style="26" hidden="1" customWidth="1"/>
    <col min="10" max="10" width="13" style="26" hidden="1" customWidth="1"/>
    <col min="11" max="11" width="14" style="26" hidden="1" customWidth="1"/>
    <col min="12" max="12" width="12.42578125" style="26" hidden="1" customWidth="1"/>
    <col min="13" max="13" width="12.5703125" style="26" hidden="1" customWidth="1"/>
    <col min="14" max="14" width="0" style="26" hidden="1" customWidth="1"/>
    <col min="15" max="16384" width="9.140625" style="26"/>
  </cols>
  <sheetData>
    <row r="1" spans="1:13" s="82" customFormat="1" ht="47.25" customHeight="1">
      <c r="A1" s="485" t="str">
        <f>"Приложение "&amp;Н1Публ&amp;" к решению
Богучанского районного Совета депутатов
от "&amp;Р1дата&amp;" года №"&amp;Р1номер</f>
        <v>Приложение 18 к решению
Богучанского районного Совета депутатов
от  года №</v>
      </c>
      <c r="B1" s="485"/>
      <c r="C1" s="485"/>
      <c r="D1" s="485"/>
      <c r="E1" s="485"/>
      <c r="F1" s="485"/>
      <c r="G1" s="89"/>
      <c r="H1" s="89"/>
    </row>
    <row r="2" spans="1:13" s="21" customFormat="1" ht="67.5" customHeight="1">
      <c r="A2" s="484" t="str">
        <f>"Перечень публичных нормативных обязательств Богучанского районна за "&amp;год&amp;" год "</f>
        <v xml:space="preserve">Перечень публичных нормативных обязательств Богучанского районна за 2022 год </v>
      </c>
      <c r="B2" s="484"/>
      <c r="C2" s="484"/>
      <c r="D2" s="484"/>
      <c r="E2" s="484"/>
      <c r="F2" s="484"/>
      <c r="G2" s="88"/>
      <c r="H2" s="88"/>
    </row>
    <row r="3" spans="1:13" s="21" customFormat="1" ht="13.5" customHeight="1">
      <c r="B3" s="20"/>
      <c r="C3" s="20"/>
      <c r="E3" s="8"/>
      <c r="F3" s="8" t="s">
        <v>69</v>
      </c>
      <c r="G3" s="8"/>
      <c r="H3" s="8"/>
    </row>
    <row r="4" spans="1:13" s="23" customFormat="1" ht="36" customHeight="1">
      <c r="A4" s="22"/>
      <c r="B4" s="22" t="s">
        <v>21</v>
      </c>
      <c r="C4" s="22" t="s">
        <v>16</v>
      </c>
      <c r="D4" s="22" t="s">
        <v>2264</v>
      </c>
      <c r="E4" s="22" t="s">
        <v>2286</v>
      </c>
      <c r="F4" s="22" t="s">
        <v>2263</v>
      </c>
      <c r="G4" s="92"/>
      <c r="H4" s="95" t="s">
        <v>259</v>
      </c>
      <c r="I4" s="93" t="s">
        <v>556</v>
      </c>
      <c r="J4" s="93" t="s">
        <v>377</v>
      </c>
      <c r="K4" s="93" t="s">
        <v>602</v>
      </c>
      <c r="L4" s="93" t="s">
        <v>557</v>
      </c>
      <c r="M4" s="93" t="s">
        <v>340</v>
      </c>
    </row>
    <row r="5" spans="1:13" s="23" customFormat="1" ht="57">
      <c r="A5" s="44">
        <v>1</v>
      </c>
      <c r="B5" s="45" t="s">
        <v>1079</v>
      </c>
      <c r="C5" s="46"/>
      <c r="D5" s="47">
        <f>D6</f>
        <v>60000</v>
      </c>
      <c r="E5" s="47">
        <f>E6</f>
        <v>60000</v>
      </c>
      <c r="F5" s="47">
        <f>E5/D5*100</f>
        <v>100</v>
      </c>
      <c r="G5" s="94">
        <v>2016</v>
      </c>
      <c r="H5" s="96">
        <f>I5+J5+L5+K5+M5-D9</f>
        <v>9554261.5300000012</v>
      </c>
      <c r="I5" s="9">
        <f>SUMIF(квр13,I$4,СумВед)</f>
        <v>0</v>
      </c>
      <c r="J5" s="9">
        <f>SUMIF(квр13,J$4,СумВед)</f>
        <v>5167942</v>
      </c>
      <c r="K5" s="9">
        <f>SUMIF(квр13,K$4,СумВед)</f>
        <v>3498120</v>
      </c>
      <c r="L5" s="9">
        <f>SUMIF(квр13,L$4,СумВед)</f>
        <v>6056141.5300000003</v>
      </c>
      <c r="M5" s="9">
        <f>SUMIF(квр13,M$4,СумВед)</f>
        <v>60000</v>
      </c>
    </row>
    <row r="6" spans="1:13" s="23" customFormat="1" ht="42.75">
      <c r="A6" s="152" t="s">
        <v>623</v>
      </c>
      <c r="B6" s="45" t="s">
        <v>12</v>
      </c>
      <c r="C6" s="46" t="s">
        <v>166</v>
      </c>
      <c r="D6" s="47">
        <v>60000</v>
      </c>
      <c r="E6" s="47">
        <v>60000</v>
      </c>
      <c r="F6" s="47">
        <f t="shared" ref="F6:F9" si="0">E6/D6*100</f>
        <v>100</v>
      </c>
      <c r="G6" s="94">
        <v>2017</v>
      </c>
      <c r="H6" s="96">
        <f>I6+J6+L6+K6+M6-E9</f>
        <v>-5165527.3899999997</v>
      </c>
      <c r="I6" s="9">
        <f>SUMIF(кврПлПер,I$4,СумВед14)</f>
        <v>0</v>
      </c>
      <c r="J6" s="9">
        <f>SUMIF(кврПлПер,J$4,СумВед14)</f>
        <v>0</v>
      </c>
      <c r="K6" s="9">
        <f>SUMIF(кврПлПер,K$4,СумВед14)</f>
        <v>0</v>
      </c>
      <c r="L6" s="9">
        <f>SUMIF(кврПлПер,L$4,СумВед14)</f>
        <v>0</v>
      </c>
      <c r="M6" s="9">
        <f>SUMIF(кврПлПер,M$4,СумВед14)</f>
        <v>60000</v>
      </c>
    </row>
    <row r="7" spans="1:13" s="23" customFormat="1" ht="171">
      <c r="A7" s="44" t="s">
        <v>13</v>
      </c>
      <c r="B7" s="120" t="s">
        <v>1215</v>
      </c>
      <c r="C7" s="48"/>
      <c r="D7" s="47">
        <f>D8</f>
        <v>5167942</v>
      </c>
      <c r="E7" s="47">
        <f>E8</f>
        <v>5165527.3899999997</v>
      </c>
      <c r="F7" s="47">
        <f t="shared" si="0"/>
        <v>99.953277145912239</v>
      </c>
      <c r="G7" s="94">
        <v>2018</v>
      </c>
      <c r="H7" s="96">
        <f>I7+J7+L7+K7+M7-F9</f>
        <v>59900.046186625637</v>
      </c>
      <c r="I7" s="9">
        <f>SUMIF(кврПлПер,I$4,СумВед15)</f>
        <v>0</v>
      </c>
      <c r="J7" s="9">
        <f>SUMIF(кврПлПер,J$4,СумВед15)</f>
        <v>0</v>
      </c>
      <c r="K7" s="9">
        <f>SUMIF(кврПлПер,K$4,СумВед15)</f>
        <v>0</v>
      </c>
      <c r="L7" s="9">
        <f>SUMIF(кврПлПер,L$4,СумВед15)</f>
        <v>0</v>
      </c>
      <c r="M7" s="9">
        <f>SUMIF(кврПлПер,M$4,СумВед15)</f>
        <v>60000</v>
      </c>
    </row>
    <row r="8" spans="1:13" s="23" customFormat="1" ht="57">
      <c r="A8" s="44" t="s">
        <v>14</v>
      </c>
      <c r="B8" s="45" t="s">
        <v>15</v>
      </c>
      <c r="C8" s="46" t="s">
        <v>17</v>
      </c>
      <c r="D8" s="47">
        <v>5167942</v>
      </c>
      <c r="E8" s="47">
        <v>5165527.3899999997</v>
      </c>
      <c r="F8" s="47">
        <f t="shared" si="0"/>
        <v>99.953277145912239</v>
      </c>
      <c r="G8" s="90"/>
      <c r="H8" s="90"/>
    </row>
    <row r="9" spans="1:13" s="29" customFormat="1" ht="15">
      <c r="A9" s="49"/>
      <c r="B9" s="27" t="s">
        <v>167</v>
      </c>
      <c r="C9" s="27"/>
      <c r="D9" s="28">
        <f>SUM(D5,D7)</f>
        <v>5227942</v>
      </c>
      <c r="E9" s="28">
        <f>SUM(E5,E7)</f>
        <v>5225527.3899999997</v>
      </c>
      <c r="F9" s="47">
        <f t="shared" si="0"/>
        <v>99.953813374364131</v>
      </c>
      <c r="G9" s="91"/>
      <c r="H9" s="91"/>
    </row>
  </sheetData>
  <mergeCells count="2">
    <mergeCell ref="A2:F2"/>
    <mergeCell ref="A1:F1"/>
  </mergeCells>
  <phoneticPr fontId="3" type="noConversion"/>
  <pageMargins left="0.78740157480314965" right="0.19685039370078741" top="0.39370078740157483" bottom="0.39370078740157483" header="0" footer="0"/>
  <pageSetup paperSize="9" fitToHeight="0" orientation="portrait" horizontalDpi="1200" verticalDpi="1200" r:id="rId1"/>
  <headerFooter alignWithMargins="0"/>
</worksheet>
</file>

<file path=xl/worksheets/sheet34.xml><?xml version="1.0" encoding="utf-8"?>
<worksheet xmlns="http://schemas.openxmlformats.org/spreadsheetml/2006/main" xmlns:r="http://schemas.openxmlformats.org/officeDocument/2006/relationships">
  <sheetPr codeName="Лист14">
    <tabColor rgb="FF92D050"/>
    <pageSetUpPr fitToPage="1"/>
  </sheetPr>
  <dimension ref="A1:M62"/>
  <sheetViews>
    <sheetView workbookViewId="0">
      <pane xSplit="1" ySplit="5" topLeftCell="B39" activePane="bottomRight" state="frozen"/>
      <selection activeCell="I12" sqref="I12"/>
      <selection pane="topRight" activeCell="I12" sqref="I12"/>
      <selection pane="bottomLeft" activeCell="I12" sqref="I12"/>
      <selection pane="bottomRight" activeCell="C16" sqref="C16"/>
    </sheetView>
  </sheetViews>
  <sheetFormatPr defaultColWidth="57.28515625" defaultRowHeight="15"/>
  <cols>
    <col min="1" max="1" width="48.140625" style="18" customWidth="1"/>
    <col min="2" max="2" width="17.28515625" style="18" customWidth="1"/>
    <col min="3" max="3" width="72.140625" style="18" customWidth="1"/>
    <col min="4" max="4" width="15.28515625" style="18" customWidth="1"/>
    <col min="5" max="5" width="22.7109375" style="18" customWidth="1"/>
    <col min="6" max="6" width="28.7109375" style="18" customWidth="1"/>
    <col min="7" max="7" width="43" style="4" customWidth="1"/>
    <col min="8" max="10" width="17.28515625" style="18" hidden="1" customWidth="1"/>
    <col min="11" max="11" width="16.140625" style="18" hidden="1" customWidth="1"/>
    <col min="12" max="12" width="16.28515625" style="18" customWidth="1"/>
    <col min="13" max="13" width="19.42578125" style="18" customWidth="1"/>
    <col min="14" max="16384" width="57.28515625" style="18"/>
  </cols>
  <sheetData>
    <row r="1" spans="1:13" ht="43.5" customHeight="1">
      <c r="A1" s="485" t="str">
        <f>"Приложение "&amp;Н1пол&amp;" к решению
Богучанского районного Совета депутатов
от "&amp;Р1дата&amp;" года №"&amp;Р1номер</f>
        <v>Приложение 19 к решению
Богучанского районного Совета депутатов
от  года №</v>
      </c>
      <c r="B1" s="485"/>
      <c r="C1" s="485"/>
      <c r="D1" s="485"/>
      <c r="E1" s="485"/>
      <c r="F1" s="485"/>
      <c r="G1" s="167"/>
      <c r="H1" s="52"/>
      <c r="I1" s="52"/>
      <c r="J1" s="52"/>
    </row>
    <row r="2" spans="1:13" s="84" customFormat="1" ht="38.25" customHeight="1">
      <c r="A2" s="545" t="str">
        <f>"Межбюджетные трансферты, перечисляемые в районный бюджет из бюджетов  поселений в "&amp;год&amp;" году"</f>
        <v>Межбюджетные трансферты, перечисляемые в районный бюджет из бюджетов  поселений в 2022 году</v>
      </c>
      <c r="B2" s="545"/>
      <c r="C2" s="545"/>
      <c r="D2" s="545"/>
      <c r="E2" s="545"/>
      <c r="F2" s="545"/>
      <c r="G2" s="167"/>
      <c r="H2" s="83"/>
      <c r="I2" s="83"/>
      <c r="J2" s="83"/>
    </row>
    <row r="3" spans="1:13">
      <c r="F3" s="8" t="s">
        <v>69</v>
      </c>
    </row>
    <row r="4" spans="1:13" s="85" customFormat="1" ht="12.75" customHeight="1">
      <c r="A4" s="543" t="s">
        <v>77</v>
      </c>
      <c r="B4" s="544" t="s">
        <v>78</v>
      </c>
      <c r="C4" s="546"/>
      <c r="D4" s="546"/>
      <c r="E4" s="546"/>
      <c r="F4" s="546"/>
      <c r="G4" s="4"/>
    </row>
    <row r="5" spans="1:13" s="85" customFormat="1" ht="213" customHeight="1">
      <c r="A5" s="543"/>
      <c r="B5" s="544"/>
      <c r="C5" s="427" t="s">
        <v>2192</v>
      </c>
      <c r="D5" s="119" t="s">
        <v>1071</v>
      </c>
      <c r="E5" s="119" t="s">
        <v>1338</v>
      </c>
      <c r="F5" s="118" t="s">
        <v>1194</v>
      </c>
      <c r="G5" s="4"/>
    </row>
    <row r="6" spans="1:13" s="85" customFormat="1" ht="15" customHeight="1">
      <c r="A6" s="87" t="s">
        <v>2287</v>
      </c>
      <c r="B6" s="212">
        <f>SUM(B7:B24)</f>
        <v>189750807.19999999</v>
      </c>
      <c r="C6" s="212">
        <f>SUM(C7:C24)</f>
        <v>188079260.19999999</v>
      </c>
      <c r="D6" s="212">
        <f>SUM(D7:D24)</f>
        <v>709547</v>
      </c>
      <c r="E6" s="212">
        <f>SUM(E7:E24)</f>
        <v>23000</v>
      </c>
      <c r="F6" s="213">
        <f>SUM(F7:F24)</f>
        <v>939000</v>
      </c>
      <c r="G6" s="168"/>
      <c r="M6" s="304"/>
    </row>
    <row r="7" spans="1:13">
      <c r="A7" s="40" t="s">
        <v>57</v>
      </c>
      <c r="B7" s="214">
        <f t="shared" ref="B7:B38" si="0">SUM(C7+E7+F7+D7)</f>
        <v>18636</v>
      </c>
      <c r="C7" s="215">
        <f>16992+731</f>
        <v>17723</v>
      </c>
      <c r="D7" s="215"/>
      <c r="E7" s="215">
        <f>913</f>
        <v>913</v>
      </c>
      <c r="F7" s="216"/>
      <c r="G7" s="428"/>
      <c r="M7" s="304"/>
    </row>
    <row r="8" spans="1:13">
      <c r="A8" s="40" t="s">
        <v>79</v>
      </c>
      <c r="B8" s="214">
        <f t="shared" si="0"/>
        <v>3245941</v>
      </c>
      <c r="C8" s="215">
        <f>10958+471+3233700</f>
        <v>3245129</v>
      </c>
      <c r="D8" s="215"/>
      <c r="E8" s="215">
        <f>812</f>
        <v>812</v>
      </c>
      <c r="F8" s="216"/>
      <c r="G8" s="428"/>
      <c r="M8" s="304"/>
    </row>
    <row r="9" spans="1:13">
      <c r="A9" s="40" t="s">
        <v>164</v>
      </c>
      <c r="B9" s="214">
        <f t="shared" si="0"/>
        <v>715339</v>
      </c>
      <c r="C9" s="215">
        <f>4924+212</f>
        <v>5136</v>
      </c>
      <c r="D9" s="215">
        <f>680323+29224</f>
        <v>709547</v>
      </c>
      <c r="E9" s="215">
        <f>656</f>
        <v>656</v>
      </c>
      <c r="F9" s="216"/>
      <c r="G9" s="428"/>
      <c r="M9" s="304"/>
    </row>
    <row r="10" spans="1:13">
      <c r="A10" s="41" t="s">
        <v>58</v>
      </c>
      <c r="B10" s="214">
        <f t="shared" si="0"/>
        <v>64914128.200000003</v>
      </c>
      <c r="C10" s="215">
        <f>242090+ 334948.4+33137800+10406+30244359.8+1314</f>
        <v>63970918.200000003</v>
      </c>
      <c r="D10" s="215"/>
      <c r="E10" s="215">
        <f>4210</f>
        <v>4210</v>
      </c>
      <c r="F10" s="216">
        <f>900000+39000</f>
        <v>939000</v>
      </c>
      <c r="G10" s="428"/>
      <c r="M10" s="304"/>
    </row>
    <row r="11" spans="1:13">
      <c r="A11" s="40" t="s">
        <v>59</v>
      </c>
      <c r="B11" s="214">
        <f t="shared" si="0"/>
        <v>3160</v>
      </c>
      <c r="C11" s="215">
        <f>2293+99</f>
        <v>2392</v>
      </c>
      <c r="D11" s="215"/>
      <c r="E11" s="215">
        <f>768</f>
        <v>768</v>
      </c>
      <c r="F11" s="216"/>
      <c r="G11" s="464"/>
      <c r="M11" s="304"/>
    </row>
    <row r="12" spans="1:13" s="112" customFormat="1" ht="17.25" customHeight="1">
      <c r="A12" s="42" t="s">
        <v>231</v>
      </c>
      <c r="B12" s="429">
        <f t="shared" si="0"/>
        <v>74460</v>
      </c>
      <c r="C12" s="430">
        <f>69827+3002</f>
        <v>72829</v>
      </c>
      <c r="D12" s="430"/>
      <c r="E12" s="430">
        <f>1631</f>
        <v>1631</v>
      </c>
      <c r="F12" s="462"/>
      <c r="G12" s="465"/>
      <c r="M12" s="431"/>
    </row>
    <row r="13" spans="1:13" s="112" customFormat="1">
      <c r="A13" s="248" t="s">
        <v>80</v>
      </c>
      <c r="B13" s="429">
        <f t="shared" si="0"/>
        <v>47051</v>
      </c>
      <c r="C13" s="430">
        <f>43953+1889</f>
        <v>45842</v>
      </c>
      <c r="D13" s="430"/>
      <c r="E13" s="430">
        <f>1209</f>
        <v>1209</v>
      </c>
      <c r="F13" s="462"/>
      <c r="G13" s="465"/>
      <c r="M13" s="431"/>
    </row>
    <row r="14" spans="1:13" s="112" customFormat="1">
      <c r="A14" s="248" t="s">
        <v>135</v>
      </c>
      <c r="B14" s="429">
        <f t="shared" si="0"/>
        <v>35606</v>
      </c>
      <c r="C14" s="430">
        <f>32922+1415</f>
        <v>34337</v>
      </c>
      <c r="D14" s="430"/>
      <c r="E14" s="430">
        <f>1269</f>
        <v>1269</v>
      </c>
      <c r="F14" s="462"/>
      <c r="G14" s="465"/>
      <c r="M14" s="431"/>
    </row>
    <row r="15" spans="1:13" s="112" customFormat="1">
      <c r="A15" s="248" t="s">
        <v>136</v>
      </c>
      <c r="B15" s="429">
        <f t="shared" si="0"/>
        <v>18049</v>
      </c>
      <c r="C15" s="430">
        <f>16727+719</f>
        <v>17446</v>
      </c>
      <c r="D15" s="430"/>
      <c r="E15" s="430">
        <f>603</f>
        <v>603</v>
      </c>
      <c r="F15" s="462"/>
      <c r="G15" s="465"/>
      <c r="M15" s="431"/>
    </row>
    <row r="16" spans="1:13" s="112" customFormat="1">
      <c r="A16" s="248" t="s">
        <v>81</v>
      </c>
      <c r="B16" s="429">
        <f t="shared" si="0"/>
        <v>7327</v>
      </c>
      <c r="C16" s="430">
        <f>6155+264</f>
        <v>6419</v>
      </c>
      <c r="D16" s="430"/>
      <c r="E16" s="430">
        <f>908</f>
        <v>908</v>
      </c>
      <c r="F16" s="462"/>
      <c r="G16" s="465"/>
      <c r="M16" s="431"/>
    </row>
    <row r="17" spans="1:13" s="112" customFormat="1">
      <c r="A17" s="418" t="s">
        <v>83</v>
      </c>
      <c r="B17" s="429">
        <f t="shared" si="0"/>
        <v>2937701</v>
      </c>
      <c r="C17" s="430">
        <f>24474+1053+2910540</f>
        <v>2936067</v>
      </c>
      <c r="D17" s="430"/>
      <c r="E17" s="430">
        <f>1634</f>
        <v>1634</v>
      </c>
      <c r="F17" s="462"/>
      <c r="G17" s="465"/>
      <c r="M17" s="431"/>
    </row>
    <row r="18" spans="1:13" s="112" customFormat="1">
      <c r="A18" s="248" t="s">
        <v>165</v>
      </c>
      <c r="B18" s="429">
        <f t="shared" si="0"/>
        <v>2993944</v>
      </c>
      <c r="C18" s="430">
        <f>31064+1335+2960540</f>
        <v>2992939</v>
      </c>
      <c r="D18" s="430"/>
      <c r="E18" s="430">
        <f>1005</f>
        <v>1005</v>
      </c>
      <c r="F18" s="462"/>
      <c r="G18" s="465"/>
      <c r="L18" s="461"/>
      <c r="M18" s="431"/>
    </row>
    <row r="19" spans="1:13">
      <c r="A19" s="40" t="s">
        <v>82</v>
      </c>
      <c r="B19" s="214">
        <f t="shared" si="0"/>
        <v>3116561</v>
      </c>
      <c r="C19" s="215">
        <f>52714+2266+3060540</f>
        <v>3115520</v>
      </c>
      <c r="D19" s="215"/>
      <c r="E19" s="215">
        <f>1041</f>
        <v>1041</v>
      </c>
      <c r="F19" s="463"/>
      <c r="G19" s="465"/>
      <c r="M19" s="304"/>
    </row>
    <row r="20" spans="1:13">
      <c r="A20" s="40" t="s">
        <v>84</v>
      </c>
      <c r="B20" s="214">
        <f t="shared" si="0"/>
        <v>111480537</v>
      </c>
      <c r="C20" s="215">
        <f>166856+1207188+109800000+7172+296715</f>
        <v>111477931</v>
      </c>
      <c r="D20" s="215"/>
      <c r="E20" s="215">
        <f>2606</f>
        <v>2606</v>
      </c>
      <c r="F20" s="463"/>
      <c r="G20" s="465"/>
      <c r="I20" s="187"/>
      <c r="K20" s="187"/>
      <c r="M20" s="304"/>
    </row>
    <row r="21" spans="1:13">
      <c r="A21" s="40" t="s">
        <v>85</v>
      </c>
      <c r="B21" s="214">
        <f t="shared" si="0"/>
        <v>15301</v>
      </c>
      <c r="C21" s="215">
        <f>13975+601</f>
        <v>14576</v>
      </c>
      <c r="D21" s="215"/>
      <c r="E21" s="215">
        <f>725</f>
        <v>725</v>
      </c>
      <c r="F21" s="463"/>
      <c r="G21" s="465"/>
      <c r="I21" s="187"/>
      <c r="M21" s="304"/>
    </row>
    <row r="22" spans="1:13">
      <c r="A22" s="40" t="s">
        <v>138</v>
      </c>
      <c r="B22" s="214">
        <f t="shared" si="0"/>
        <v>27076</v>
      </c>
      <c r="C22" s="215">
        <f>24837+1067</f>
        <v>25904</v>
      </c>
      <c r="D22" s="215"/>
      <c r="E22" s="215">
        <f>1172</f>
        <v>1172</v>
      </c>
      <c r="F22" s="463"/>
      <c r="G22" s="465"/>
      <c r="M22" s="304"/>
    </row>
    <row r="23" spans="1:13">
      <c r="A23" s="40" t="s">
        <v>139</v>
      </c>
      <c r="B23" s="214">
        <f t="shared" si="0"/>
        <v>60879</v>
      </c>
      <c r="C23" s="215">
        <f>57445+2469</f>
        <v>59914</v>
      </c>
      <c r="D23" s="215"/>
      <c r="E23" s="215">
        <f>965</f>
        <v>965</v>
      </c>
      <c r="F23" s="463"/>
      <c r="G23" s="465"/>
      <c r="M23" s="304"/>
    </row>
    <row r="24" spans="1:13">
      <c r="A24" s="40" t="s">
        <v>86</v>
      </c>
      <c r="B24" s="214">
        <f t="shared" si="0"/>
        <v>39111</v>
      </c>
      <c r="C24" s="215">
        <f>36664+1574</f>
        <v>38238</v>
      </c>
      <c r="D24" s="215"/>
      <c r="E24" s="215">
        <f>873</f>
        <v>873</v>
      </c>
      <c r="F24" s="463"/>
      <c r="G24" s="465"/>
      <c r="M24" s="304"/>
    </row>
    <row r="25" spans="1:13" s="86" customFormat="1" ht="15.75">
      <c r="A25" s="87" t="s">
        <v>2289</v>
      </c>
      <c r="B25" s="217">
        <f t="shared" si="0"/>
        <v>171458344</v>
      </c>
      <c r="C25" s="212">
        <f>SUM(C26:C43)</f>
        <v>169786797</v>
      </c>
      <c r="D25" s="212">
        <f>SUM(D26:D43)</f>
        <v>709547</v>
      </c>
      <c r="E25" s="212">
        <f>SUM(E26:E43)</f>
        <v>23000</v>
      </c>
      <c r="F25" s="213">
        <f>SUM(F26:F43)</f>
        <v>939000</v>
      </c>
      <c r="G25" s="168"/>
    </row>
    <row r="26" spans="1:13">
      <c r="A26" s="40" t="s">
        <v>57</v>
      </c>
      <c r="B26" s="214">
        <f t="shared" si="0"/>
        <v>18636</v>
      </c>
      <c r="C26" s="215">
        <f>16992+731</f>
        <v>17723</v>
      </c>
      <c r="D26" s="215"/>
      <c r="E26" s="215">
        <f>913</f>
        <v>913</v>
      </c>
      <c r="F26" s="216"/>
    </row>
    <row r="27" spans="1:13">
      <c r="A27" s="40" t="s">
        <v>79</v>
      </c>
      <c r="B27" s="214">
        <f t="shared" si="0"/>
        <v>2556347.54</v>
      </c>
      <c r="C27" s="215">
        <v>2555535.54</v>
      </c>
      <c r="D27" s="215"/>
      <c r="E27" s="215">
        <f>812</f>
        <v>812</v>
      </c>
      <c r="F27" s="216"/>
    </row>
    <row r="28" spans="1:13">
      <c r="A28" s="40" t="s">
        <v>164</v>
      </c>
      <c r="B28" s="214">
        <f t="shared" si="0"/>
        <v>715339</v>
      </c>
      <c r="C28" s="215">
        <f>4924+212</f>
        <v>5136</v>
      </c>
      <c r="D28" s="215">
        <f>680323+29224</f>
        <v>709547</v>
      </c>
      <c r="E28" s="215">
        <f>656</f>
        <v>656</v>
      </c>
      <c r="F28" s="216"/>
    </row>
    <row r="29" spans="1:13">
      <c r="A29" s="41" t="s">
        <v>58</v>
      </c>
      <c r="B29" s="214">
        <f t="shared" si="0"/>
        <v>49875077.899999999</v>
      </c>
      <c r="C29" s="215">
        <v>48931867.899999999</v>
      </c>
      <c r="D29" s="215"/>
      <c r="E29" s="215">
        <f>4210</f>
        <v>4210</v>
      </c>
      <c r="F29" s="216">
        <f>900000+39000</f>
        <v>939000</v>
      </c>
    </row>
    <row r="30" spans="1:13">
      <c r="A30" s="40" t="s">
        <v>59</v>
      </c>
      <c r="B30" s="214">
        <f t="shared" si="0"/>
        <v>3160</v>
      </c>
      <c r="C30" s="215">
        <v>2392</v>
      </c>
      <c r="D30" s="215"/>
      <c r="E30" s="215">
        <f>768</f>
        <v>768</v>
      </c>
      <c r="F30" s="216"/>
    </row>
    <row r="31" spans="1:13" ht="15" customHeight="1">
      <c r="A31" s="42" t="s">
        <v>231</v>
      </c>
      <c r="B31" s="214">
        <f t="shared" si="0"/>
        <v>74460</v>
      </c>
      <c r="C31" s="215">
        <v>72829</v>
      </c>
      <c r="D31" s="215"/>
      <c r="E31" s="430">
        <f>1631</f>
        <v>1631</v>
      </c>
      <c r="F31" s="216"/>
    </row>
    <row r="32" spans="1:13">
      <c r="A32" s="40" t="s">
        <v>80</v>
      </c>
      <c r="B32" s="214">
        <f t="shared" si="0"/>
        <v>47051</v>
      </c>
      <c r="C32" s="215">
        <v>45842</v>
      </c>
      <c r="D32" s="215"/>
      <c r="E32" s="430">
        <f>1209</f>
        <v>1209</v>
      </c>
      <c r="F32" s="216"/>
    </row>
    <row r="33" spans="1:7">
      <c r="A33" s="40" t="s">
        <v>135</v>
      </c>
      <c r="B33" s="214">
        <f t="shared" si="0"/>
        <v>35606</v>
      </c>
      <c r="C33" s="215">
        <v>34337</v>
      </c>
      <c r="D33" s="215"/>
      <c r="E33" s="430">
        <f>1269</f>
        <v>1269</v>
      </c>
      <c r="F33" s="216"/>
    </row>
    <row r="34" spans="1:7">
      <c r="A34" s="40" t="s">
        <v>136</v>
      </c>
      <c r="B34" s="214">
        <f t="shared" si="0"/>
        <v>18049</v>
      </c>
      <c r="C34" s="215">
        <v>17446</v>
      </c>
      <c r="D34" s="215"/>
      <c r="E34" s="430">
        <f>603</f>
        <v>603</v>
      </c>
      <c r="F34" s="216"/>
    </row>
    <row r="35" spans="1:7">
      <c r="A35" s="40" t="s">
        <v>81</v>
      </c>
      <c r="B35" s="214">
        <f t="shared" si="0"/>
        <v>7327</v>
      </c>
      <c r="C35" s="215">
        <v>6419</v>
      </c>
      <c r="D35" s="215"/>
      <c r="E35" s="430">
        <f>908</f>
        <v>908</v>
      </c>
      <c r="F35" s="216"/>
    </row>
    <row r="36" spans="1:7">
      <c r="A36" s="41" t="s">
        <v>83</v>
      </c>
      <c r="B36" s="214">
        <f t="shared" si="0"/>
        <v>2922263.3</v>
      </c>
      <c r="C36" s="215">
        <v>2920629.3</v>
      </c>
      <c r="D36" s="215"/>
      <c r="E36" s="430">
        <f>1634</f>
        <v>1634</v>
      </c>
      <c r="F36" s="216"/>
    </row>
    <row r="37" spans="1:7">
      <c r="A37" s="40" t="s">
        <v>165</v>
      </c>
      <c r="B37" s="214">
        <f t="shared" si="0"/>
        <v>2978506.3</v>
      </c>
      <c r="C37" s="215">
        <v>2977501.3</v>
      </c>
      <c r="D37" s="215"/>
      <c r="E37" s="430">
        <f>1005</f>
        <v>1005</v>
      </c>
      <c r="F37" s="216"/>
    </row>
    <row r="38" spans="1:7">
      <c r="A38" s="40" t="s">
        <v>82</v>
      </c>
      <c r="B38" s="214">
        <f t="shared" si="0"/>
        <v>3101123.3</v>
      </c>
      <c r="C38" s="215">
        <v>3100082.3</v>
      </c>
      <c r="D38" s="215"/>
      <c r="E38" s="215">
        <f>1041</f>
        <v>1041</v>
      </c>
      <c r="F38" s="216"/>
    </row>
    <row r="39" spans="1:7">
      <c r="A39" s="40" t="s">
        <v>84</v>
      </c>
      <c r="B39" s="214">
        <f t="shared" ref="B39:B43" si="1">SUM(C39+E39+F39+D39)</f>
        <v>108963030.66</v>
      </c>
      <c r="C39" s="215">
        <v>108960424.66</v>
      </c>
      <c r="D39" s="215"/>
      <c r="E39" s="215">
        <f>2606</f>
        <v>2606</v>
      </c>
      <c r="F39" s="216"/>
    </row>
    <row r="40" spans="1:7">
      <c r="A40" s="40" t="s">
        <v>85</v>
      </c>
      <c r="B40" s="214">
        <f t="shared" si="1"/>
        <v>15301</v>
      </c>
      <c r="C40" s="215">
        <v>14576</v>
      </c>
      <c r="D40" s="215"/>
      <c r="E40" s="215">
        <f>725</f>
        <v>725</v>
      </c>
      <c r="F40" s="216"/>
    </row>
    <row r="41" spans="1:7">
      <c r="A41" s="40" t="s">
        <v>138</v>
      </c>
      <c r="B41" s="214">
        <f t="shared" si="1"/>
        <v>27076</v>
      </c>
      <c r="C41" s="215">
        <v>25904</v>
      </c>
      <c r="D41" s="215"/>
      <c r="E41" s="215">
        <f>1172</f>
        <v>1172</v>
      </c>
      <c r="F41" s="216"/>
    </row>
    <row r="42" spans="1:7">
      <c r="A42" s="40" t="s">
        <v>139</v>
      </c>
      <c r="B42" s="214">
        <f t="shared" si="1"/>
        <v>60879</v>
      </c>
      <c r="C42" s="215">
        <v>59914</v>
      </c>
      <c r="D42" s="215"/>
      <c r="E42" s="215">
        <f>965</f>
        <v>965</v>
      </c>
      <c r="F42" s="216"/>
    </row>
    <row r="43" spans="1:7">
      <c r="A43" s="40" t="s">
        <v>86</v>
      </c>
      <c r="B43" s="214">
        <f t="shared" si="1"/>
        <v>39111</v>
      </c>
      <c r="C43" s="215">
        <v>38238</v>
      </c>
      <c r="D43" s="215"/>
      <c r="E43" s="215">
        <f>873</f>
        <v>873</v>
      </c>
      <c r="F43" s="216"/>
    </row>
    <row r="44" spans="1:7" ht="15.75">
      <c r="A44" s="87" t="s">
        <v>2288</v>
      </c>
      <c r="B44" s="212">
        <f>B25/B6*100</f>
        <v>90.359744198231809</v>
      </c>
      <c r="C44" s="212">
        <f>C25/C6*100</f>
        <v>90.27406680537338</v>
      </c>
      <c r="D44" s="212">
        <f>D25/D6*100</f>
        <v>100</v>
      </c>
      <c r="E44" s="212">
        <f>E25/E6*100</f>
        <v>100</v>
      </c>
      <c r="F44" s="212">
        <f>F25/F6*100</f>
        <v>100</v>
      </c>
      <c r="G44" s="168"/>
    </row>
    <row r="45" spans="1:7" ht="15.75">
      <c r="A45" s="40" t="s">
        <v>57</v>
      </c>
      <c r="B45" s="460">
        <f t="shared" ref="B45:B62" si="2">B26/B7*100</f>
        <v>100</v>
      </c>
      <c r="C45" s="212">
        <f t="shared" ref="C45:E62" si="3">C26/C7*100</f>
        <v>100</v>
      </c>
      <c r="D45" s="212"/>
      <c r="E45" s="460">
        <f t="shared" ref="E45" si="4">E26/E7*100</f>
        <v>100</v>
      </c>
      <c r="F45" s="212"/>
    </row>
    <row r="46" spans="1:7" ht="15.75">
      <c r="A46" s="40" t="s">
        <v>79</v>
      </c>
      <c r="B46" s="460">
        <f t="shared" si="2"/>
        <v>78.755206579540413</v>
      </c>
      <c r="C46" s="212">
        <f t="shared" si="3"/>
        <v>78.749890682311857</v>
      </c>
      <c r="D46" s="212"/>
      <c r="E46" s="460">
        <f t="shared" ref="E46" si="5">E27/E8*100</f>
        <v>100</v>
      </c>
      <c r="F46" s="212"/>
    </row>
    <row r="47" spans="1:7" ht="15.75">
      <c r="A47" s="40" t="s">
        <v>164</v>
      </c>
      <c r="B47" s="460">
        <f t="shared" si="2"/>
        <v>100</v>
      </c>
      <c r="C47" s="212">
        <f t="shared" si="3"/>
        <v>100</v>
      </c>
      <c r="D47" s="460">
        <f t="shared" si="3"/>
        <v>100</v>
      </c>
      <c r="E47" s="460">
        <f t="shared" si="3"/>
        <v>100</v>
      </c>
      <c r="F47" s="212"/>
    </row>
    <row r="48" spans="1:7" ht="15.75">
      <c r="A48" s="41" t="s">
        <v>58</v>
      </c>
      <c r="B48" s="460">
        <f t="shared" si="2"/>
        <v>76.832392705537401</v>
      </c>
      <c r="C48" s="212">
        <f t="shared" si="3"/>
        <v>76.490801252873055</v>
      </c>
      <c r="D48" s="215"/>
      <c r="E48" s="460">
        <f t="shared" ref="E48:F48" si="6">E29/E10*100</f>
        <v>100</v>
      </c>
      <c r="F48" s="460">
        <f t="shared" si="6"/>
        <v>100</v>
      </c>
    </row>
    <row r="49" spans="1:6" ht="15.75">
      <c r="A49" s="40" t="s">
        <v>59</v>
      </c>
      <c r="B49" s="460">
        <f t="shared" si="2"/>
        <v>100</v>
      </c>
      <c r="C49" s="212">
        <f t="shared" si="3"/>
        <v>100</v>
      </c>
      <c r="D49" s="215"/>
      <c r="E49" s="460">
        <f t="shared" ref="E49:E62" si="7">E30/E11*100</f>
        <v>100</v>
      </c>
      <c r="F49" s="216"/>
    </row>
    <row r="50" spans="1:6" ht="15" customHeight="1">
      <c r="A50" s="42" t="s">
        <v>231</v>
      </c>
      <c r="B50" s="460">
        <f t="shared" si="2"/>
        <v>100</v>
      </c>
      <c r="C50" s="212">
        <f t="shared" si="3"/>
        <v>100</v>
      </c>
      <c r="D50" s="215"/>
      <c r="E50" s="460">
        <f t="shared" si="7"/>
        <v>100</v>
      </c>
      <c r="F50" s="216"/>
    </row>
    <row r="51" spans="1:6" ht="15.75">
      <c r="A51" s="40" t="s">
        <v>80</v>
      </c>
      <c r="B51" s="460">
        <f t="shared" si="2"/>
        <v>100</v>
      </c>
      <c r="C51" s="212">
        <f t="shared" si="3"/>
        <v>100</v>
      </c>
      <c r="D51" s="215"/>
      <c r="E51" s="460">
        <f t="shared" si="7"/>
        <v>100</v>
      </c>
      <c r="F51" s="216"/>
    </row>
    <row r="52" spans="1:6" ht="15.75">
      <c r="A52" s="40" t="s">
        <v>135</v>
      </c>
      <c r="B52" s="460">
        <f t="shared" si="2"/>
        <v>100</v>
      </c>
      <c r="C52" s="212">
        <f t="shared" si="3"/>
        <v>100</v>
      </c>
      <c r="D52" s="215"/>
      <c r="E52" s="460">
        <f t="shared" si="7"/>
        <v>100</v>
      </c>
      <c r="F52" s="216"/>
    </row>
    <row r="53" spans="1:6" ht="15.75">
      <c r="A53" s="40" t="s">
        <v>136</v>
      </c>
      <c r="B53" s="460">
        <f t="shared" si="2"/>
        <v>100</v>
      </c>
      <c r="C53" s="212">
        <f t="shared" si="3"/>
        <v>100</v>
      </c>
      <c r="D53" s="215"/>
      <c r="E53" s="460">
        <f t="shared" si="7"/>
        <v>100</v>
      </c>
      <c r="F53" s="216"/>
    </row>
    <row r="54" spans="1:6" ht="15.75">
      <c r="A54" s="40" t="s">
        <v>81</v>
      </c>
      <c r="B54" s="460">
        <f t="shared" si="2"/>
        <v>100</v>
      </c>
      <c r="C54" s="212">
        <f t="shared" si="3"/>
        <v>100</v>
      </c>
      <c r="D54" s="215"/>
      <c r="E54" s="460">
        <f t="shared" si="7"/>
        <v>100</v>
      </c>
      <c r="F54" s="216"/>
    </row>
    <row r="55" spans="1:6" ht="15.75">
      <c r="A55" s="41" t="s">
        <v>83</v>
      </c>
      <c r="B55" s="460">
        <f t="shared" si="2"/>
        <v>99.474497234401994</v>
      </c>
      <c r="C55" s="212">
        <f t="shared" si="3"/>
        <v>99.474204778024472</v>
      </c>
      <c r="D55" s="215"/>
      <c r="E55" s="460">
        <f t="shared" si="7"/>
        <v>100</v>
      </c>
      <c r="F55" s="216"/>
    </row>
    <row r="56" spans="1:6" ht="15.75">
      <c r="A56" s="40" t="s">
        <v>165</v>
      </c>
      <c r="B56" s="460">
        <f t="shared" si="2"/>
        <v>99.48436911311633</v>
      </c>
      <c r="C56" s="212">
        <f t="shared" si="3"/>
        <v>99.484195969246286</v>
      </c>
      <c r="D56" s="215"/>
      <c r="E56" s="460">
        <f t="shared" si="7"/>
        <v>100</v>
      </c>
      <c r="F56" s="216"/>
    </row>
    <row r="57" spans="1:6" ht="15.75">
      <c r="A57" s="40" t="s">
        <v>82</v>
      </c>
      <c r="B57" s="460">
        <f t="shared" si="2"/>
        <v>99.504655933254625</v>
      </c>
      <c r="C57" s="212">
        <f t="shared" si="3"/>
        <v>99.504490422144613</v>
      </c>
      <c r="D57" s="215"/>
      <c r="E57" s="460">
        <f t="shared" si="7"/>
        <v>100</v>
      </c>
      <c r="F57" s="216"/>
    </row>
    <row r="58" spans="1:6" ht="15.75">
      <c r="A58" s="40" t="s">
        <v>84</v>
      </c>
      <c r="B58" s="460">
        <f t="shared" si="2"/>
        <v>97.741752589512558</v>
      </c>
      <c r="C58" s="212">
        <f t="shared" si="3"/>
        <v>97.741699798859742</v>
      </c>
      <c r="D58" s="215"/>
      <c r="E58" s="460">
        <f t="shared" si="7"/>
        <v>100</v>
      </c>
      <c r="F58" s="216"/>
    </row>
    <row r="59" spans="1:6" ht="15.75">
      <c r="A59" s="40" t="s">
        <v>85</v>
      </c>
      <c r="B59" s="460">
        <f t="shared" si="2"/>
        <v>100</v>
      </c>
      <c r="C59" s="212">
        <f t="shared" si="3"/>
        <v>100</v>
      </c>
      <c r="D59" s="215"/>
      <c r="E59" s="460">
        <f t="shared" si="7"/>
        <v>100</v>
      </c>
      <c r="F59" s="216"/>
    </row>
    <row r="60" spans="1:6" ht="15.75">
      <c r="A60" s="40" t="s">
        <v>138</v>
      </c>
      <c r="B60" s="460">
        <f t="shared" si="2"/>
        <v>100</v>
      </c>
      <c r="C60" s="212">
        <f t="shared" si="3"/>
        <v>100</v>
      </c>
      <c r="D60" s="215"/>
      <c r="E60" s="460">
        <f t="shared" si="7"/>
        <v>100</v>
      </c>
      <c r="F60" s="216"/>
    </row>
    <row r="61" spans="1:6" ht="15.75">
      <c r="A61" s="40" t="s">
        <v>139</v>
      </c>
      <c r="B61" s="460">
        <f t="shared" si="2"/>
        <v>100</v>
      </c>
      <c r="C61" s="212">
        <f t="shared" si="3"/>
        <v>100</v>
      </c>
      <c r="D61" s="215"/>
      <c r="E61" s="460">
        <f t="shared" si="7"/>
        <v>100</v>
      </c>
      <c r="F61" s="216"/>
    </row>
    <row r="62" spans="1:6" ht="15.75">
      <c r="A62" s="40" t="s">
        <v>86</v>
      </c>
      <c r="B62" s="460">
        <f t="shared" si="2"/>
        <v>100</v>
      </c>
      <c r="C62" s="212">
        <f t="shared" si="3"/>
        <v>100</v>
      </c>
      <c r="D62" s="215"/>
      <c r="E62" s="460">
        <f t="shared" si="7"/>
        <v>100</v>
      </c>
      <c r="F62" s="216"/>
    </row>
  </sheetData>
  <mergeCells count="5">
    <mergeCell ref="A4:A5"/>
    <mergeCell ref="B4:B5"/>
    <mergeCell ref="A2:F2"/>
    <mergeCell ref="C4:F4"/>
    <mergeCell ref="A1:F1"/>
  </mergeCells>
  <phoneticPr fontId="3" type="noConversion"/>
  <pageMargins left="0.23622047244094491" right="0.23622047244094491" top="0.74803149606299213" bottom="0.49" header="0.2" footer="0.31496062992125984"/>
  <pageSetup paperSize="9" scale="71" fitToHeight="0" orientation="landscape" r:id="rId1"/>
  <headerFooter alignWithMargins="0"/>
</worksheet>
</file>

<file path=xl/worksheets/sheet35.xml><?xml version="1.0" encoding="utf-8"?>
<worksheet xmlns="http://schemas.openxmlformats.org/spreadsheetml/2006/main" xmlns:r="http://schemas.openxmlformats.org/officeDocument/2006/relationships">
  <sheetPr>
    <tabColor rgb="FF92D050"/>
  </sheetPr>
  <dimension ref="A1:F36"/>
  <sheetViews>
    <sheetView workbookViewId="0">
      <pane xSplit="1" ySplit="4" topLeftCell="B5" activePane="bottomRight" state="frozen"/>
      <selection pane="topRight" activeCell="B1" sqref="B1"/>
      <selection pane="bottomLeft" activeCell="A5" sqref="A5"/>
      <selection pane="bottomRight" activeCell="A4" sqref="A4:F4"/>
    </sheetView>
  </sheetViews>
  <sheetFormatPr defaultRowHeight="12.75"/>
  <cols>
    <col min="1" max="1" width="5.5703125" customWidth="1"/>
    <col min="2" max="2" width="58.85546875" customWidth="1"/>
    <col min="3" max="3" width="15" style="266" customWidth="1"/>
    <col min="4" max="4" width="16.28515625" style="266" customWidth="1"/>
    <col min="5" max="5" width="17" style="266" customWidth="1"/>
    <col min="6" max="6" width="18" style="266" customWidth="1"/>
  </cols>
  <sheetData>
    <row r="1" spans="1:6" ht="45.75" customHeight="1">
      <c r="B1" s="547" t="str">
        <f>"Приложение "&amp;Н1софин&amp;" к решению
Богучанского районного Совета депутатов
от "&amp;Р1дата&amp;" года №"&amp;Р1номер</f>
        <v>Приложение 20 к решению
Богучанского районного Совета депутатов
от  года №</v>
      </c>
      <c r="C1" s="547"/>
      <c r="D1" s="547"/>
      <c r="E1" s="547"/>
      <c r="F1" s="547"/>
    </row>
    <row r="2" spans="1:6" ht="35.25" customHeight="1">
      <c r="B2" s="484" t="str">
        <f>"Долевое финансирование мероприятий выделенных из
 краевого бюджета за  "&amp;год&amp;" год "</f>
        <v xml:space="preserve">Долевое финансирование мероприятий выделенных из
 краевого бюджета за  2022 год </v>
      </c>
      <c r="C2" s="484"/>
      <c r="D2" s="484"/>
      <c r="E2" s="484"/>
      <c r="F2" s="484"/>
    </row>
    <row r="3" spans="1:6" ht="20.25">
      <c r="B3" s="481"/>
      <c r="C3" s="301"/>
      <c r="D3" s="301"/>
      <c r="E3" s="548" t="s">
        <v>69</v>
      </c>
      <c r="F3" s="548"/>
    </row>
    <row r="4" spans="1:6" ht="30" customHeight="1">
      <c r="A4" s="418"/>
      <c r="B4" s="302" t="s">
        <v>21</v>
      </c>
      <c r="C4" s="302" t="s">
        <v>1333</v>
      </c>
      <c r="D4" s="22" t="s">
        <v>2264</v>
      </c>
      <c r="E4" s="22" t="s">
        <v>2286</v>
      </c>
      <c r="F4" s="22" t="s">
        <v>2263</v>
      </c>
    </row>
    <row r="5" spans="1:6" ht="27.75" customHeight="1">
      <c r="A5" s="418"/>
      <c r="B5" s="436" t="s">
        <v>70</v>
      </c>
      <c r="C5" s="328"/>
      <c r="D5" s="412">
        <f>SUM(D6:D36)</f>
        <v>11430696.619999999</v>
      </c>
      <c r="E5" s="412">
        <f t="shared" ref="E5" si="0">SUM(E6:E36)</f>
        <v>10503656.239999998</v>
      </c>
      <c r="F5" s="412">
        <f>E5/D5*100</f>
        <v>91.889904781673749</v>
      </c>
    </row>
    <row r="6" spans="1:6" s="266" customFormat="1" ht="142.5">
      <c r="A6" s="272">
        <v>1</v>
      </c>
      <c r="B6" s="339" t="s">
        <v>1512</v>
      </c>
      <c r="C6" s="329" t="s">
        <v>1341</v>
      </c>
      <c r="D6" s="389">
        <v>140.13999999999999</v>
      </c>
      <c r="E6" s="473">
        <v>140.13999999999999</v>
      </c>
      <c r="F6" s="412">
        <f t="shared" ref="F6:F36" si="1">E6/D6*100</f>
        <v>100</v>
      </c>
    </row>
    <row r="7" spans="1:6" s="266" customFormat="1" ht="85.5">
      <c r="A7" s="272">
        <v>2</v>
      </c>
      <c r="B7" s="289" t="s">
        <v>1470</v>
      </c>
      <c r="C7" s="329" t="s">
        <v>1471</v>
      </c>
      <c r="D7" s="389">
        <v>448</v>
      </c>
      <c r="E7" s="473">
        <v>448</v>
      </c>
      <c r="F7" s="412">
        <f t="shared" si="1"/>
        <v>100</v>
      </c>
    </row>
    <row r="8" spans="1:6" s="266" customFormat="1" ht="128.25">
      <c r="A8" s="272">
        <v>4</v>
      </c>
      <c r="B8" s="339" t="s">
        <v>1513</v>
      </c>
      <c r="C8" s="329" t="s">
        <v>1344</v>
      </c>
      <c r="D8" s="389">
        <v>96158</v>
      </c>
      <c r="E8" s="473">
        <v>96158</v>
      </c>
      <c r="F8" s="412">
        <f t="shared" si="1"/>
        <v>100</v>
      </c>
    </row>
    <row r="9" spans="1:6" s="266" customFormat="1" ht="85.5">
      <c r="A9" s="272">
        <v>5</v>
      </c>
      <c r="B9" s="289" t="s">
        <v>1472</v>
      </c>
      <c r="C9" s="330" t="s">
        <v>1358</v>
      </c>
      <c r="D9" s="390">
        <v>125000</v>
      </c>
      <c r="E9" s="474">
        <v>125000</v>
      </c>
      <c r="F9" s="412">
        <f t="shared" si="1"/>
        <v>100</v>
      </c>
    </row>
    <row r="10" spans="1:6" s="266" customFormat="1" ht="185.25">
      <c r="A10" s="272">
        <v>6</v>
      </c>
      <c r="B10" s="289" t="s">
        <v>1478</v>
      </c>
      <c r="C10" s="330" t="s">
        <v>774</v>
      </c>
      <c r="D10" s="389">
        <v>360</v>
      </c>
      <c r="E10" s="473">
        <v>360</v>
      </c>
      <c r="F10" s="412">
        <f t="shared" si="1"/>
        <v>100</v>
      </c>
    </row>
    <row r="11" spans="1:6" s="266" customFormat="1" ht="142.5" hidden="1">
      <c r="A11" s="272"/>
      <c r="B11" s="339" t="s">
        <v>1514</v>
      </c>
      <c r="C11" s="388" t="s">
        <v>1770</v>
      </c>
      <c r="D11" s="389"/>
      <c r="E11" s="473">
        <v>0</v>
      </c>
      <c r="F11" s="412" t="e">
        <f t="shared" si="1"/>
        <v>#DIV/0!</v>
      </c>
    </row>
    <row r="12" spans="1:6" s="266" customFormat="1" ht="71.25">
      <c r="A12" s="272">
        <v>7</v>
      </c>
      <c r="B12" s="339" t="s">
        <v>1515</v>
      </c>
      <c r="C12" s="329" t="s">
        <v>682</v>
      </c>
      <c r="D12" s="389">
        <v>300900</v>
      </c>
      <c r="E12" s="473">
        <v>300900</v>
      </c>
      <c r="F12" s="412">
        <f t="shared" si="1"/>
        <v>100</v>
      </c>
    </row>
    <row r="13" spans="1:6" s="266" customFormat="1" ht="85.5" hidden="1">
      <c r="A13" s="272"/>
      <c r="B13" s="339" t="s">
        <v>1516</v>
      </c>
      <c r="C13" s="329" t="s">
        <v>1231</v>
      </c>
      <c r="D13" s="391"/>
      <c r="E13" s="475"/>
      <c r="F13" s="412" t="e">
        <f t="shared" si="1"/>
        <v>#DIV/0!</v>
      </c>
    </row>
    <row r="14" spans="1:6" s="266" customFormat="1" ht="57">
      <c r="A14" s="272">
        <v>8</v>
      </c>
      <c r="B14" s="339" t="s">
        <v>1350</v>
      </c>
      <c r="C14" s="329" t="s">
        <v>712</v>
      </c>
      <c r="D14" s="389">
        <v>87849</v>
      </c>
      <c r="E14" s="473">
        <v>87775</v>
      </c>
      <c r="F14" s="412">
        <f t="shared" si="1"/>
        <v>99.915764550535584</v>
      </c>
    </row>
    <row r="15" spans="1:6" s="266" customFormat="1" ht="99.75">
      <c r="A15" s="272">
        <v>9</v>
      </c>
      <c r="B15" s="386" t="s">
        <v>1771</v>
      </c>
      <c r="C15" s="330" t="s">
        <v>1359</v>
      </c>
      <c r="D15" s="389">
        <v>30000</v>
      </c>
      <c r="E15" s="473">
        <v>30000</v>
      </c>
      <c r="F15" s="412">
        <f t="shared" si="1"/>
        <v>100</v>
      </c>
    </row>
    <row r="16" spans="1:6" s="266" customFormat="1" ht="99.75">
      <c r="A16" s="272">
        <v>10</v>
      </c>
      <c r="B16" s="386" t="s">
        <v>1771</v>
      </c>
      <c r="C16" s="330" t="s">
        <v>1473</v>
      </c>
      <c r="D16" s="390">
        <v>70200</v>
      </c>
      <c r="E16" s="474">
        <v>70200</v>
      </c>
      <c r="F16" s="412">
        <f t="shared" si="1"/>
        <v>100</v>
      </c>
    </row>
    <row r="17" spans="1:6" s="266" customFormat="1" ht="228" hidden="1">
      <c r="A17" s="272"/>
      <c r="B17" s="289" t="s">
        <v>1511</v>
      </c>
      <c r="C17" s="331" t="s">
        <v>1501</v>
      </c>
      <c r="D17" s="389"/>
      <c r="E17" s="473">
        <v>0</v>
      </c>
      <c r="F17" s="412" t="e">
        <f t="shared" si="1"/>
        <v>#DIV/0!</v>
      </c>
    </row>
    <row r="18" spans="1:6" s="266" customFormat="1" ht="85.5" hidden="1">
      <c r="A18" s="272"/>
      <c r="B18" s="387" t="s">
        <v>1517</v>
      </c>
      <c r="C18" s="331" t="s">
        <v>1504</v>
      </c>
      <c r="D18" s="389"/>
      <c r="E18" s="473"/>
      <c r="F18" s="412" t="e">
        <f t="shared" si="1"/>
        <v>#DIV/0!</v>
      </c>
    </row>
    <row r="19" spans="1:6" s="266" customFormat="1" ht="85.5">
      <c r="A19" s="272">
        <v>11</v>
      </c>
      <c r="B19" s="340" t="s">
        <v>1670</v>
      </c>
      <c r="C19" s="332" t="s">
        <v>1667</v>
      </c>
      <c r="D19" s="390">
        <v>34000</v>
      </c>
      <c r="E19" s="474">
        <v>26826.84</v>
      </c>
      <c r="F19" s="412">
        <f t="shared" si="1"/>
        <v>78.902470588235303</v>
      </c>
    </row>
    <row r="20" spans="1:6" ht="71.25">
      <c r="A20" s="272">
        <v>14</v>
      </c>
      <c r="B20" s="437" t="s">
        <v>1988</v>
      </c>
      <c r="C20" s="272" t="s">
        <v>1989</v>
      </c>
      <c r="D20" s="389">
        <v>40500</v>
      </c>
      <c r="E20" s="476">
        <v>40500</v>
      </c>
      <c r="F20" s="412">
        <f t="shared" si="1"/>
        <v>100</v>
      </c>
    </row>
    <row r="21" spans="1:6" ht="85.5">
      <c r="A21" s="272">
        <v>15</v>
      </c>
      <c r="B21" s="386" t="s">
        <v>2050</v>
      </c>
      <c r="C21" s="438" t="s">
        <v>2051</v>
      </c>
      <c r="D21" s="389">
        <v>515160</v>
      </c>
      <c r="E21" s="476">
        <v>0</v>
      </c>
      <c r="F21" s="412">
        <f t="shared" si="1"/>
        <v>0</v>
      </c>
    </row>
    <row r="22" spans="1:6" ht="85.5">
      <c r="A22" s="272">
        <v>16</v>
      </c>
      <c r="B22" s="386" t="s">
        <v>1635</v>
      </c>
      <c r="C22" s="438" t="s">
        <v>1636</v>
      </c>
      <c r="D22" s="389">
        <f>5273540-36700</f>
        <v>5236840</v>
      </c>
      <c r="E22" s="476">
        <v>5236840</v>
      </c>
      <c r="F22" s="412">
        <f t="shared" si="1"/>
        <v>100</v>
      </c>
    </row>
    <row r="23" spans="1:6" ht="85.5">
      <c r="A23" s="272">
        <v>17</v>
      </c>
      <c r="B23" s="386" t="s">
        <v>1517</v>
      </c>
      <c r="C23" s="438" t="s">
        <v>1504</v>
      </c>
      <c r="D23" s="389">
        <v>20000</v>
      </c>
      <c r="E23" s="473">
        <v>20000</v>
      </c>
      <c r="F23" s="412">
        <f t="shared" si="1"/>
        <v>100</v>
      </c>
    </row>
    <row r="24" spans="1:6" ht="71.25">
      <c r="A24" s="272">
        <v>18</v>
      </c>
      <c r="B24" s="386" t="s">
        <v>2066</v>
      </c>
      <c r="C24" s="438" t="s">
        <v>2067</v>
      </c>
      <c r="D24" s="389">
        <v>3425</v>
      </c>
      <c r="E24" s="473">
        <v>3425</v>
      </c>
      <c r="F24" s="412">
        <f t="shared" si="1"/>
        <v>100</v>
      </c>
    </row>
    <row r="25" spans="1:6" ht="85.5">
      <c r="A25" s="272">
        <v>19</v>
      </c>
      <c r="B25" s="386" t="s">
        <v>2073</v>
      </c>
      <c r="C25" s="438" t="s">
        <v>1503</v>
      </c>
      <c r="D25" s="389">
        <v>17864</v>
      </c>
      <c r="E25" s="476">
        <v>17864</v>
      </c>
      <c r="F25" s="412">
        <f t="shared" si="1"/>
        <v>100</v>
      </c>
    </row>
    <row r="26" spans="1:6" ht="85.5">
      <c r="A26" s="272">
        <v>20</v>
      </c>
      <c r="B26" s="386" t="s">
        <v>1516</v>
      </c>
      <c r="C26" s="438" t="s">
        <v>1231</v>
      </c>
      <c r="D26" s="389">
        <v>1500000</v>
      </c>
      <c r="E26" s="476">
        <v>1500000</v>
      </c>
      <c r="F26" s="412">
        <f t="shared" si="1"/>
        <v>100</v>
      </c>
    </row>
    <row r="27" spans="1:6" ht="85.5">
      <c r="A27" s="272">
        <v>21</v>
      </c>
      <c r="B27" s="386" t="s">
        <v>1635</v>
      </c>
      <c r="C27" s="438" t="s">
        <v>1636</v>
      </c>
      <c r="D27" s="389">
        <v>36700</v>
      </c>
      <c r="E27" s="476">
        <v>0</v>
      </c>
      <c r="F27" s="412">
        <f t="shared" si="1"/>
        <v>0</v>
      </c>
    </row>
    <row r="28" spans="1:6" ht="71.25">
      <c r="A28" s="272">
        <v>22</v>
      </c>
      <c r="B28" s="386" t="s">
        <v>2157</v>
      </c>
      <c r="C28" s="438" t="s">
        <v>2158</v>
      </c>
      <c r="D28" s="389">
        <v>64397.88</v>
      </c>
      <c r="E28" s="476">
        <v>57392.31</v>
      </c>
      <c r="F28" s="412">
        <f t="shared" si="1"/>
        <v>89.12142759979055</v>
      </c>
    </row>
    <row r="29" spans="1:6" ht="114">
      <c r="A29" s="272">
        <v>23</v>
      </c>
      <c r="B29" s="386" t="s">
        <v>2137</v>
      </c>
      <c r="C29" s="438" t="s">
        <v>2138</v>
      </c>
      <c r="D29" s="389">
        <v>653842</v>
      </c>
      <c r="E29" s="476">
        <v>653842</v>
      </c>
      <c r="F29" s="412">
        <f t="shared" si="1"/>
        <v>100</v>
      </c>
    </row>
    <row r="30" spans="1:6" ht="85.5">
      <c r="A30" s="272">
        <v>24</v>
      </c>
      <c r="B30" s="386" t="s">
        <v>1807</v>
      </c>
      <c r="C30" s="438" t="s">
        <v>1806</v>
      </c>
      <c r="D30" s="389">
        <v>1334</v>
      </c>
      <c r="E30" s="476">
        <v>1334</v>
      </c>
      <c r="F30" s="412">
        <f t="shared" si="1"/>
        <v>100</v>
      </c>
    </row>
    <row r="31" spans="1:6" ht="85.5">
      <c r="A31" s="272">
        <v>25</v>
      </c>
      <c r="B31" s="386" t="s">
        <v>2175</v>
      </c>
      <c r="C31" s="438" t="s">
        <v>2208</v>
      </c>
      <c r="D31" s="389">
        <v>243210</v>
      </c>
      <c r="E31" s="476">
        <v>243210</v>
      </c>
      <c r="F31" s="412">
        <f t="shared" si="1"/>
        <v>100</v>
      </c>
    </row>
    <row r="32" spans="1:6" ht="142.5">
      <c r="A32" s="272">
        <v>26</v>
      </c>
      <c r="B32" s="386" t="s">
        <v>2197</v>
      </c>
      <c r="C32" s="438" t="s">
        <v>2198</v>
      </c>
      <c r="D32" s="389">
        <v>30000</v>
      </c>
      <c r="E32" s="476">
        <v>15000</v>
      </c>
      <c r="F32" s="412">
        <f t="shared" si="1"/>
        <v>50</v>
      </c>
    </row>
    <row r="33" spans="1:6" ht="228">
      <c r="A33" s="272">
        <v>27</v>
      </c>
      <c r="B33" s="386" t="s">
        <v>1511</v>
      </c>
      <c r="C33" s="438" t="s">
        <v>1501</v>
      </c>
      <c r="D33" s="389">
        <v>2250445.2000000002</v>
      </c>
      <c r="E33" s="476">
        <v>1908889.2</v>
      </c>
      <c r="F33" s="412">
        <f t="shared" si="1"/>
        <v>84.822736407889423</v>
      </c>
    </row>
    <row r="34" spans="1:6" ht="128.25">
      <c r="A34" s="272">
        <v>28</v>
      </c>
      <c r="B34" s="386" t="s">
        <v>2205</v>
      </c>
      <c r="C34" s="438" t="s">
        <v>2206</v>
      </c>
      <c r="D34" s="389">
        <v>55135</v>
      </c>
      <c r="E34" s="476">
        <v>55135</v>
      </c>
      <c r="F34" s="412">
        <f t="shared" si="1"/>
        <v>100</v>
      </c>
    </row>
    <row r="35" spans="1:6" ht="114">
      <c r="A35" s="272">
        <v>29</v>
      </c>
      <c r="B35" s="386" t="s">
        <v>1808</v>
      </c>
      <c r="C35" s="438" t="s">
        <v>2207</v>
      </c>
      <c r="D35" s="389">
        <v>3416</v>
      </c>
      <c r="E35" s="476">
        <v>3416</v>
      </c>
      <c r="F35" s="412">
        <f t="shared" si="1"/>
        <v>100</v>
      </c>
    </row>
    <row r="36" spans="1:6" ht="99.75">
      <c r="A36" s="447">
        <v>30</v>
      </c>
      <c r="B36" s="448" t="s">
        <v>1783</v>
      </c>
      <c r="C36" s="449" t="s">
        <v>1665</v>
      </c>
      <c r="D36" s="389">
        <v>13372.4</v>
      </c>
      <c r="E36" s="476">
        <v>9000.75</v>
      </c>
      <c r="F36" s="412">
        <f t="shared" si="1"/>
        <v>67.308411354730652</v>
      </c>
    </row>
  </sheetData>
  <autoFilter ref="A5:F19"/>
  <mergeCells count="3">
    <mergeCell ref="B2:F2"/>
    <mergeCell ref="B1:F1"/>
    <mergeCell ref="E3:F3"/>
  </mergeCells>
  <pageMargins left="0.31496062992125984" right="0.31496062992125984" top="0.15748031496062992" bottom="0.35433070866141736" header="0.31496062992125984" footer="0.31496062992125984"/>
  <pageSetup paperSize="9" scale="75" orientation="portrait" r:id="rId1"/>
</worksheet>
</file>

<file path=xl/worksheets/sheet36.xml><?xml version="1.0" encoding="utf-8"?>
<worksheet xmlns="http://schemas.openxmlformats.org/spreadsheetml/2006/main" xmlns:r="http://schemas.openxmlformats.org/officeDocument/2006/relationships">
  <sheetPr codeName="Лист16">
    <tabColor rgb="FF92D050"/>
  </sheetPr>
  <dimension ref="A1:D11"/>
  <sheetViews>
    <sheetView tabSelected="1" workbookViewId="0">
      <selection activeCell="L16" sqref="L16"/>
    </sheetView>
  </sheetViews>
  <sheetFormatPr defaultRowHeight="12.75"/>
  <cols>
    <col min="1" max="1" width="48.28515625" style="3" customWidth="1"/>
    <col min="2" max="2" width="17" style="3" customWidth="1"/>
    <col min="3" max="3" width="16" style="3" customWidth="1"/>
    <col min="4" max="4" width="14.7109375" style="3" customWidth="1"/>
    <col min="5" max="16384" width="9.140625" style="3"/>
  </cols>
  <sheetData>
    <row r="1" spans="1:4" ht="54.75" customHeight="1">
      <c r="A1" s="485" t="str">
        <f>"Приложение "&amp;Н1займ&amp;" к решению
Богучанского районного Совета депутатов
от "&amp;Р1дата&amp;" года №"&amp;Р1номер</f>
        <v>Приложение 21 к решению
Богучанского районного Совета депутатов
от  года №</v>
      </c>
      <c r="B1" s="485"/>
      <c r="C1" s="485"/>
      <c r="D1" s="485"/>
    </row>
    <row r="2" spans="1:4" ht="64.5" customHeight="1">
      <c r="A2" s="537" t="str">
        <f>"Программа муниципальных внутренних заимствований районного бюджета за "&amp;год&amp;" год "</f>
        <v xml:space="preserve">Программа муниципальных внутренних заимствований районного бюджета за 2022 год </v>
      </c>
      <c r="B2" s="537"/>
      <c r="C2" s="537"/>
      <c r="D2" s="537"/>
    </row>
    <row r="3" spans="1:4" ht="18">
      <c r="A3" s="13"/>
      <c r="D3" s="8" t="s">
        <v>69</v>
      </c>
    </row>
    <row r="4" spans="1:4" s="15" customFormat="1" ht="28.5">
      <c r="A4" s="14" t="s">
        <v>182</v>
      </c>
      <c r="B4" s="22" t="s">
        <v>2264</v>
      </c>
      <c r="C4" s="22" t="s">
        <v>2286</v>
      </c>
      <c r="D4" s="22" t="s">
        <v>2263</v>
      </c>
    </row>
    <row r="5" spans="1:4" s="15" customFormat="1" ht="28.5">
      <c r="A5" s="16" t="s">
        <v>202</v>
      </c>
      <c r="B5" s="17">
        <f>B6-B7</f>
        <v>16200000</v>
      </c>
      <c r="C5" s="17">
        <f>C6-C7</f>
        <v>16200000</v>
      </c>
      <c r="D5" s="17">
        <f>C5/B5*100</f>
        <v>100</v>
      </c>
    </row>
    <row r="6" spans="1:4" s="15" customFormat="1" ht="14.25">
      <c r="A6" s="16" t="s">
        <v>625</v>
      </c>
      <c r="B6" s="17">
        <f>12100000+11900000-7800000</f>
        <v>16200000</v>
      </c>
      <c r="C6" s="17">
        <v>16200000</v>
      </c>
      <c r="D6" s="17">
        <f t="shared" ref="D6:D9" si="0">C6/B6*100</f>
        <v>100</v>
      </c>
    </row>
    <row r="7" spans="1:4" ht="14.25">
      <c r="A7" s="16" t="s">
        <v>203</v>
      </c>
      <c r="B7" s="17">
        <v>0</v>
      </c>
      <c r="C7" s="17">
        <v>0</v>
      </c>
      <c r="D7" s="17">
        <v>0</v>
      </c>
    </row>
    <row r="8" spans="1:4" ht="57">
      <c r="A8" s="16" t="s">
        <v>204</v>
      </c>
      <c r="B8" s="17">
        <f>B9-B10</f>
        <v>16200000</v>
      </c>
      <c r="C8" s="17">
        <f>C9-C10</f>
        <v>16200000</v>
      </c>
      <c r="D8" s="17">
        <f t="shared" si="0"/>
        <v>100</v>
      </c>
    </row>
    <row r="9" spans="1:4" ht="14.25">
      <c r="A9" s="16" t="s">
        <v>219</v>
      </c>
      <c r="B9" s="17">
        <f>12100000+11900000-7800000</f>
        <v>16200000</v>
      </c>
      <c r="C9" s="17">
        <v>16200000</v>
      </c>
      <c r="D9" s="17">
        <f t="shared" si="0"/>
        <v>100</v>
      </c>
    </row>
    <row r="10" spans="1:4" ht="14.25">
      <c r="A10" s="16" t="s">
        <v>30</v>
      </c>
      <c r="B10" s="17">
        <v>0</v>
      </c>
      <c r="C10" s="17">
        <v>0</v>
      </c>
      <c r="D10" s="17">
        <v>0</v>
      </c>
    </row>
    <row r="11" spans="1:4" ht="15">
      <c r="A11" s="18"/>
    </row>
  </sheetData>
  <mergeCells count="2">
    <mergeCell ref="A2:D2"/>
    <mergeCell ref="A1:D1"/>
  </mergeCells>
  <phoneticPr fontId="3" type="noConversion"/>
  <pageMargins left="0.78740157480314965" right="0.35433070866141736" top="0.39370078740157483" bottom="0.39370078740157483" header="0.51181102362204722" footer="0.51181102362204722"/>
  <pageSetup paperSize="9" scale="95" orientation="portrait" r:id="rId1"/>
  <headerFooter alignWithMargins="0"/>
</worksheet>
</file>

<file path=xl/worksheets/sheet37.xml><?xml version="1.0" encoding="utf-8"?>
<worksheet xmlns="http://schemas.openxmlformats.org/spreadsheetml/2006/main" xmlns:r="http://schemas.openxmlformats.org/officeDocument/2006/relationships">
  <sheetPr codeName="Лист26"/>
  <dimension ref="A1:O713"/>
  <sheetViews>
    <sheetView topLeftCell="A85" workbookViewId="0">
      <selection activeCell="B52" sqref="B52"/>
    </sheetView>
  </sheetViews>
  <sheetFormatPr defaultColWidth="8.7109375" defaultRowHeight="12.75"/>
  <cols>
    <col min="1" max="1" width="27.5703125" customWidth="1"/>
    <col min="2" max="2" width="22.42578125" style="1" customWidth="1"/>
    <col min="3" max="3" width="22.5703125" customWidth="1"/>
    <col min="6" max="6" width="14.5703125" customWidth="1"/>
    <col min="7" max="7" width="5.5703125" style="299" customWidth="1"/>
    <col min="10" max="10" width="17.85546875" customWidth="1"/>
    <col min="11" max="12" width="15.5703125" bestFit="1" customWidth="1"/>
    <col min="15" max="15" width="15.140625" customWidth="1"/>
  </cols>
  <sheetData>
    <row r="1" spans="1:15">
      <c r="A1" t="s">
        <v>102</v>
      </c>
      <c r="B1" s="1">
        <v>2022</v>
      </c>
    </row>
    <row r="2" spans="1:15">
      <c r="A2" t="s">
        <v>265</v>
      </c>
      <c r="B2" s="1" t="s">
        <v>1835</v>
      </c>
      <c r="O2" t="s">
        <v>2262</v>
      </c>
    </row>
    <row r="3" spans="1:15">
      <c r="A3" t="s">
        <v>255</v>
      </c>
      <c r="B3" s="2"/>
      <c r="G3" s="379" t="s">
        <v>1623</v>
      </c>
      <c r="H3" s="380" t="s">
        <v>1617</v>
      </c>
      <c r="I3" s="266"/>
      <c r="J3" s="370">
        <v>2022</v>
      </c>
      <c r="K3" s="370">
        <v>2023</v>
      </c>
      <c r="L3" s="370">
        <v>2024</v>
      </c>
    </row>
    <row r="4" spans="1:15">
      <c r="A4" t="s">
        <v>256</v>
      </c>
      <c r="B4" s="205"/>
      <c r="G4" s="306"/>
      <c r="H4" s="266" t="s">
        <v>2117</v>
      </c>
      <c r="I4" s="266"/>
      <c r="J4" s="439">
        <f>119800+279400</f>
        <v>399200</v>
      </c>
      <c r="K4" s="370"/>
      <c r="L4" s="370"/>
      <c r="O4" s="296">
        <v>399200</v>
      </c>
    </row>
    <row r="5" spans="1:15">
      <c r="A5" t="s">
        <v>603</v>
      </c>
      <c r="B5" s="2"/>
      <c r="G5" s="306">
        <v>14</v>
      </c>
      <c r="H5" s="266" t="s">
        <v>1618</v>
      </c>
      <c r="I5" s="266"/>
      <c r="J5" s="334">
        <v>2500000</v>
      </c>
      <c r="K5" s="334">
        <v>2500000</v>
      </c>
      <c r="L5" s="334">
        <v>2500000</v>
      </c>
      <c r="O5" s="334">
        <v>2500000</v>
      </c>
    </row>
    <row r="6" spans="1:15">
      <c r="A6" t="s">
        <v>604</v>
      </c>
      <c r="B6" s="205"/>
      <c r="G6" s="306">
        <v>15</v>
      </c>
      <c r="H6" s="266" t="s">
        <v>1825</v>
      </c>
      <c r="I6" s="266"/>
      <c r="J6" s="334">
        <f>4874750+10206400</f>
        <v>15081150</v>
      </c>
      <c r="K6" s="334">
        <v>4874750</v>
      </c>
      <c r="L6" s="334">
        <v>4874750</v>
      </c>
      <c r="O6" s="296">
        <v>15081150</v>
      </c>
    </row>
    <row r="7" spans="1:15">
      <c r="G7" s="306">
        <v>16</v>
      </c>
      <c r="H7" s="311" t="s">
        <v>1883</v>
      </c>
      <c r="I7" s="311"/>
      <c r="J7" s="446">
        <f>36270200+740100+1770000+2369131+2533891+1500000</f>
        <v>45183322</v>
      </c>
      <c r="K7" s="371">
        <v>18140000</v>
      </c>
      <c r="L7" s="371">
        <v>18140000</v>
      </c>
      <c r="O7" s="296">
        <v>38177541</v>
      </c>
    </row>
    <row r="8" spans="1:15">
      <c r="A8" s="3"/>
      <c r="B8" s="4"/>
      <c r="C8" s="3"/>
      <c r="D8" s="3"/>
      <c r="E8" s="3"/>
      <c r="G8" s="372">
        <v>21</v>
      </c>
      <c r="H8" s="311" t="s">
        <v>1160</v>
      </c>
      <c r="I8" s="311"/>
      <c r="J8" s="371">
        <v>4102500</v>
      </c>
      <c r="K8" s="371">
        <v>4102500</v>
      </c>
      <c r="L8" s="371">
        <v>4102500</v>
      </c>
      <c r="O8" s="296">
        <v>4102500</v>
      </c>
    </row>
    <row r="9" spans="1:15">
      <c r="A9" s="5" t="s">
        <v>264</v>
      </c>
      <c r="B9" s="305" t="s">
        <v>263</v>
      </c>
      <c r="C9" s="305" t="s">
        <v>605</v>
      </c>
      <c r="D9" s="3"/>
      <c r="E9" s="3"/>
      <c r="G9" s="374">
        <v>22</v>
      </c>
      <c r="H9" s="311" t="s">
        <v>1992</v>
      </c>
      <c r="I9" s="311"/>
      <c r="J9" s="371">
        <f>2094250+3363794</f>
        <v>5458044</v>
      </c>
      <c r="K9" s="371"/>
      <c r="L9" s="371"/>
      <c r="O9" s="296">
        <v>5458044</v>
      </c>
    </row>
    <row r="10" spans="1:15">
      <c r="A10" s="5" t="s">
        <v>103</v>
      </c>
      <c r="B10" s="6">
        <v>1</v>
      </c>
      <c r="C10" s="6"/>
      <c r="D10" s="3"/>
      <c r="E10" s="3"/>
      <c r="G10" s="374">
        <v>23</v>
      </c>
      <c r="H10" s="311" t="s">
        <v>2134</v>
      </c>
      <c r="I10" s="311"/>
      <c r="J10" s="371">
        <v>60210</v>
      </c>
      <c r="K10" s="371"/>
      <c r="L10" s="371"/>
      <c r="O10" s="296">
        <v>60210</v>
      </c>
    </row>
    <row r="11" spans="1:15">
      <c r="A11" s="5" t="s">
        <v>110</v>
      </c>
      <c r="B11" s="6"/>
      <c r="C11" s="6"/>
      <c r="D11" s="3"/>
      <c r="E11" s="3"/>
      <c r="G11" s="374">
        <v>24</v>
      </c>
      <c r="H11" s="311" t="s">
        <v>2135</v>
      </c>
      <c r="I11" s="311"/>
      <c r="J11" s="371">
        <v>2763258</v>
      </c>
      <c r="K11" s="371"/>
      <c r="L11" s="371"/>
      <c r="O11" s="296">
        <v>2763258</v>
      </c>
    </row>
    <row r="12" spans="1:15">
      <c r="A12" s="5" t="s">
        <v>111</v>
      </c>
      <c r="B12" s="6"/>
      <c r="C12" s="6"/>
      <c r="D12" s="3"/>
      <c r="E12" s="3"/>
      <c r="G12" s="374">
        <v>25</v>
      </c>
      <c r="H12" s="311" t="s">
        <v>2136</v>
      </c>
      <c r="I12" s="311"/>
      <c r="J12" s="371">
        <v>6568154</v>
      </c>
      <c r="K12" s="371"/>
      <c r="L12" s="371"/>
      <c r="O12" s="296">
        <v>6500685.5</v>
      </c>
    </row>
    <row r="13" spans="1:15">
      <c r="A13" s="5" t="s">
        <v>1017</v>
      </c>
      <c r="B13" s="6"/>
      <c r="C13" s="6"/>
      <c r="D13" s="3"/>
      <c r="E13" s="3"/>
      <c r="G13" s="374"/>
      <c r="H13" s="311" t="s">
        <v>2193</v>
      </c>
      <c r="I13" s="311"/>
      <c r="J13" s="371">
        <v>1294300</v>
      </c>
      <c r="K13" s="371"/>
      <c r="L13" s="371"/>
      <c r="O13" s="296">
        <v>1294300</v>
      </c>
    </row>
    <row r="14" spans="1:15">
      <c r="A14" s="5" t="s">
        <v>112</v>
      </c>
      <c r="B14" s="6">
        <v>2</v>
      </c>
      <c r="C14" s="6"/>
      <c r="D14" s="3"/>
      <c r="E14" s="3"/>
      <c r="G14" s="306">
        <v>26</v>
      </c>
      <c r="H14" s="311" t="s">
        <v>2216</v>
      </c>
      <c r="I14" s="266"/>
      <c r="J14" s="432">
        <v>1829220</v>
      </c>
      <c r="K14" s="334"/>
      <c r="L14" s="334"/>
      <c r="O14" s="296">
        <v>1829220</v>
      </c>
    </row>
    <row r="15" spans="1:15">
      <c r="A15" s="5" t="s">
        <v>1993</v>
      </c>
      <c r="B15" s="6">
        <v>3</v>
      </c>
      <c r="C15" s="6"/>
      <c r="D15" s="3"/>
      <c r="E15" s="3"/>
      <c r="G15" s="306"/>
      <c r="H15" s="266"/>
      <c r="I15" s="266"/>
      <c r="J15" s="334"/>
      <c r="K15" s="334"/>
      <c r="L15" s="334"/>
      <c r="O15" s="296"/>
    </row>
    <row r="16" spans="1:15">
      <c r="A16" s="5" t="s">
        <v>1994</v>
      </c>
      <c r="B16" s="6"/>
      <c r="C16" s="6"/>
      <c r="D16" s="3"/>
      <c r="E16" s="3"/>
      <c r="G16" s="306"/>
      <c r="H16" s="266"/>
      <c r="I16" s="266"/>
      <c r="J16" s="334"/>
      <c r="K16" s="334"/>
      <c r="L16" s="334"/>
      <c r="O16" s="296"/>
    </row>
    <row r="17" spans="1:15">
      <c r="A17" s="5" t="s">
        <v>1995</v>
      </c>
      <c r="B17" s="6">
        <v>4</v>
      </c>
      <c r="C17" s="6"/>
      <c r="D17" s="3"/>
      <c r="E17" s="3"/>
      <c r="G17" s="306"/>
      <c r="H17" s="266"/>
      <c r="I17" s="266"/>
      <c r="J17" s="334"/>
      <c r="K17" s="334"/>
      <c r="L17" s="334"/>
      <c r="O17" s="296"/>
    </row>
    <row r="18" spans="1:15">
      <c r="A18" s="5" t="s">
        <v>1996</v>
      </c>
      <c r="B18" s="6"/>
      <c r="C18" s="6"/>
      <c r="D18" s="3"/>
      <c r="E18" s="3"/>
      <c r="G18" s="306"/>
      <c r="H18" s="297" t="s">
        <v>1619</v>
      </c>
      <c r="I18" s="297"/>
      <c r="J18" s="298">
        <f>SUM(J4:J17)</f>
        <v>85239358</v>
      </c>
      <c r="K18" s="298">
        <f t="shared" ref="K18:L18" si="0">SUM(K4:K17)</f>
        <v>29617250</v>
      </c>
      <c r="L18" s="298">
        <f t="shared" si="0"/>
        <v>29617250</v>
      </c>
      <c r="O18" s="296">
        <f>SUM(O4:O17)</f>
        <v>78166108.5</v>
      </c>
    </row>
    <row r="19" spans="1:15">
      <c r="A19" s="5" t="s">
        <v>1997</v>
      </c>
      <c r="B19" s="6">
        <v>5</v>
      </c>
      <c r="C19" s="6"/>
      <c r="D19" s="3"/>
      <c r="E19" s="3"/>
      <c r="G19" s="306"/>
      <c r="H19" s="266"/>
      <c r="I19" s="266"/>
      <c r="J19" s="334"/>
      <c r="K19" s="334"/>
      <c r="L19" s="334"/>
    </row>
    <row r="20" spans="1:15">
      <c r="A20" s="5" t="s">
        <v>1998</v>
      </c>
      <c r="B20" s="6"/>
      <c r="C20" s="6"/>
      <c r="D20" s="3"/>
      <c r="E20" s="3"/>
      <c r="G20" s="306"/>
      <c r="H20" s="266"/>
      <c r="I20" s="266"/>
      <c r="J20" s="334"/>
      <c r="K20" s="334"/>
      <c r="L20" s="334"/>
    </row>
    <row r="21" spans="1:15">
      <c r="A21" s="5" t="s">
        <v>11</v>
      </c>
      <c r="B21" s="6">
        <v>18</v>
      </c>
      <c r="C21" s="6"/>
      <c r="D21" s="3"/>
      <c r="E21" s="3"/>
      <c r="G21" s="306"/>
      <c r="H21" s="266"/>
      <c r="I21" s="266"/>
      <c r="J21" s="334"/>
      <c r="K21" s="334"/>
      <c r="L21" s="334"/>
    </row>
    <row r="22" spans="1:15">
      <c r="A22" s="5" t="s">
        <v>109</v>
      </c>
      <c r="B22" s="6">
        <v>19</v>
      </c>
      <c r="C22" s="6"/>
      <c r="D22" s="3"/>
      <c r="E22" s="3"/>
      <c r="G22" s="306"/>
      <c r="H22" s="266"/>
      <c r="I22" s="266"/>
      <c r="J22" s="334"/>
      <c r="K22" s="334"/>
      <c r="L22" s="334"/>
    </row>
    <row r="23" spans="1:15">
      <c r="A23" s="5" t="s">
        <v>106</v>
      </c>
      <c r="B23" s="6">
        <v>11</v>
      </c>
      <c r="C23" s="6"/>
      <c r="D23" s="3"/>
      <c r="E23" s="3"/>
      <c r="G23" s="384"/>
      <c r="H23" s="385" t="s">
        <v>1882</v>
      </c>
      <c r="I23" s="266"/>
      <c r="J23" s="334"/>
      <c r="K23" s="334"/>
      <c r="L23" s="334"/>
    </row>
    <row r="24" spans="1:15">
      <c r="A24" s="5" t="s">
        <v>104</v>
      </c>
      <c r="B24" s="6">
        <v>6</v>
      </c>
      <c r="C24" s="6"/>
      <c r="D24" s="3"/>
      <c r="E24" s="3"/>
      <c r="G24" s="306">
        <v>11</v>
      </c>
      <c r="H24" s="266"/>
      <c r="I24" s="266"/>
      <c r="J24" s="334">
        <f>47081000+50308400</f>
        <v>97389400</v>
      </c>
      <c r="K24" s="334">
        <f>37664800+25160000</f>
        <v>62824800</v>
      </c>
      <c r="L24" s="334">
        <f>37664800+25160000</f>
        <v>62824800</v>
      </c>
    </row>
    <row r="25" spans="1:15">
      <c r="A25" s="5" t="s">
        <v>105</v>
      </c>
      <c r="B25" s="6">
        <v>9</v>
      </c>
      <c r="C25" s="6"/>
      <c r="D25" s="3"/>
      <c r="E25" s="3"/>
      <c r="G25" s="306"/>
      <c r="H25" s="266"/>
      <c r="I25" s="266"/>
      <c r="J25" s="334"/>
      <c r="K25" s="334"/>
      <c r="L25" s="334"/>
    </row>
    <row r="26" spans="1:15">
      <c r="A26" s="5" t="s">
        <v>189</v>
      </c>
      <c r="B26" s="6">
        <v>7</v>
      </c>
      <c r="C26" s="6"/>
      <c r="D26" s="3"/>
      <c r="E26" s="3"/>
      <c r="G26" s="373"/>
      <c r="H26" s="266"/>
      <c r="I26" s="266"/>
      <c r="J26" s="334"/>
      <c r="K26" s="334"/>
      <c r="L26" s="334"/>
    </row>
    <row r="27" spans="1:15">
      <c r="A27" s="5" t="s">
        <v>161</v>
      </c>
      <c r="B27" s="6"/>
      <c r="C27" s="6"/>
      <c r="D27" s="3"/>
      <c r="E27" s="3"/>
      <c r="G27" s="306"/>
      <c r="H27" s="266"/>
      <c r="I27" s="266"/>
      <c r="J27" s="334"/>
      <c r="K27" s="334"/>
      <c r="L27" s="334"/>
    </row>
    <row r="28" spans="1:15">
      <c r="A28" s="5" t="s">
        <v>107</v>
      </c>
      <c r="B28" s="6">
        <v>8</v>
      </c>
      <c r="C28" s="6"/>
      <c r="D28" s="3"/>
      <c r="E28" s="3"/>
      <c r="G28" s="381"/>
      <c r="H28" s="382" t="s">
        <v>1620</v>
      </c>
      <c r="I28" s="266"/>
      <c r="J28" s="334"/>
      <c r="K28" s="334"/>
      <c r="L28" s="334"/>
    </row>
    <row r="29" spans="1:15">
      <c r="A29" s="5" t="s">
        <v>108</v>
      </c>
      <c r="B29" s="6"/>
      <c r="C29" s="6"/>
      <c r="D29" s="3"/>
      <c r="E29" s="3"/>
      <c r="G29" s="306">
        <v>12</v>
      </c>
      <c r="H29" s="266" t="s">
        <v>1621</v>
      </c>
      <c r="I29" s="266"/>
      <c r="J29" s="334">
        <f>302500+9100</f>
        <v>311600</v>
      </c>
      <c r="K29" s="334">
        <v>302500</v>
      </c>
      <c r="L29" s="334">
        <v>302500</v>
      </c>
    </row>
    <row r="30" spans="1:15">
      <c r="A30" s="7" t="s">
        <v>247</v>
      </c>
      <c r="B30" s="6">
        <v>21</v>
      </c>
      <c r="C30" s="6"/>
      <c r="D30" s="3"/>
      <c r="E30" s="3"/>
      <c r="G30" s="306">
        <v>13</v>
      </c>
      <c r="H30" s="266" t="s">
        <v>1622</v>
      </c>
      <c r="I30" s="266"/>
      <c r="J30" s="432">
        <f>5538700-96800+325825.3-120000</f>
        <v>5647725.2999999998</v>
      </c>
      <c r="K30" s="334">
        <f>5768500-134800</f>
        <v>5633700</v>
      </c>
      <c r="L30" s="334">
        <f>5842500</f>
        <v>5842500</v>
      </c>
    </row>
    <row r="31" spans="1:15">
      <c r="A31" s="7" t="s">
        <v>497</v>
      </c>
      <c r="B31" s="6">
        <v>14</v>
      </c>
      <c r="C31" s="6"/>
      <c r="D31" s="3"/>
      <c r="E31" s="3"/>
      <c r="G31" s="306"/>
      <c r="H31" s="266"/>
      <c r="I31" s="266"/>
      <c r="J31" s="334"/>
      <c r="K31" s="334"/>
      <c r="L31" s="334"/>
    </row>
    <row r="32" spans="1:15">
      <c r="A32" s="5" t="s">
        <v>1405</v>
      </c>
      <c r="B32" s="6"/>
      <c r="C32" s="6"/>
      <c r="D32" s="3"/>
      <c r="E32" s="3"/>
      <c r="G32" s="306"/>
      <c r="H32" s="266"/>
      <c r="I32" s="266"/>
      <c r="J32" s="334"/>
      <c r="K32" s="334"/>
      <c r="L32" s="334"/>
    </row>
    <row r="33" spans="1:13">
      <c r="A33" s="7" t="s">
        <v>1159</v>
      </c>
      <c r="B33" s="6">
        <v>10</v>
      </c>
      <c r="C33" s="6"/>
      <c r="D33" s="3"/>
      <c r="E33" s="3"/>
      <c r="G33" s="306"/>
      <c r="H33" s="266"/>
      <c r="I33" s="266"/>
      <c r="J33" s="334"/>
      <c r="K33" s="334"/>
      <c r="L33" s="334"/>
    </row>
    <row r="34" spans="1:13">
      <c r="A34" s="6" t="s">
        <v>2133</v>
      </c>
      <c r="B34" s="6"/>
      <c r="C34" s="6"/>
      <c r="D34" s="3"/>
      <c r="E34" s="3"/>
      <c r="G34" s="306"/>
      <c r="H34" s="297" t="s">
        <v>1619</v>
      </c>
      <c r="I34" s="297"/>
      <c r="J34" s="298">
        <f>SUM(J29:J30)</f>
        <v>5959325.2999999998</v>
      </c>
      <c r="K34" s="298">
        <f>SUM(K29:K30)</f>
        <v>5936200</v>
      </c>
      <c r="L34" s="298">
        <f>SUM(L29:L30)</f>
        <v>6145000</v>
      </c>
    </row>
    <row r="35" spans="1:13">
      <c r="A35" s="5" t="s">
        <v>1072</v>
      </c>
      <c r="B35" s="6">
        <v>20</v>
      </c>
      <c r="C35" s="6"/>
      <c r="D35" s="3"/>
      <c r="E35" s="3"/>
      <c r="G35" s="306"/>
      <c r="H35" s="266"/>
      <c r="I35" s="266"/>
      <c r="J35" s="334"/>
      <c r="K35" s="334"/>
      <c r="L35" s="334"/>
    </row>
    <row r="36" spans="1:13">
      <c r="A36" s="6" t="s">
        <v>1160</v>
      </c>
      <c r="B36" s="6">
        <v>12</v>
      </c>
      <c r="C36" s="6"/>
      <c r="D36" s="3" t="s">
        <v>1991</v>
      </c>
      <c r="E36" s="3"/>
      <c r="G36" s="374"/>
      <c r="H36" s="311"/>
      <c r="I36" s="311"/>
      <c r="J36" s="371"/>
      <c r="K36" s="371"/>
      <c r="L36" s="371"/>
    </row>
    <row r="37" spans="1:13">
      <c r="A37" s="5" t="s">
        <v>1170</v>
      </c>
      <c r="B37" s="6"/>
      <c r="C37" s="6"/>
      <c r="D37" s="3"/>
      <c r="E37" s="3"/>
      <c r="G37" s="306"/>
      <c r="H37" s="311"/>
      <c r="I37" s="266"/>
      <c r="J37" s="334"/>
      <c r="K37" s="334"/>
      <c r="L37" s="334"/>
    </row>
    <row r="38" spans="1:13">
      <c r="A38" s="5" t="s">
        <v>1824</v>
      </c>
      <c r="B38" s="6"/>
      <c r="C38" s="6"/>
      <c r="D38" s="3"/>
      <c r="E38" s="3"/>
      <c r="G38" s="306"/>
      <c r="H38" s="311"/>
      <c r="I38" s="266"/>
      <c r="J38" s="334"/>
      <c r="K38" s="334"/>
      <c r="L38" s="334"/>
    </row>
    <row r="39" spans="1:13">
      <c r="A39" s="5" t="s">
        <v>1747</v>
      </c>
      <c r="B39" s="6"/>
      <c r="C39" s="6"/>
      <c r="D39" s="3"/>
      <c r="E39" s="3"/>
      <c r="G39" s="306"/>
      <c r="H39" s="311"/>
      <c r="I39" s="311"/>
      <c r="J39" s="371"/>
      <c r="K39" s="371"/>
      <c r="L39" s="371"/>
      <c r="M39" s="383"/>
    </row>
    <row r="40" spans="1:13">
      <c r="A40" s="6" t="s">
        <v>2215</v>
      </c>
      <c r="B40" s="6">
        <v>17</v>
      </c>
      <c r="C40" s="6"/>
      <c r="D40" s="3"/>
      <c r="E40" s="3"/>
      <c r="G40" s="306"/>
      <c r="H40" s="311"/>
      <c r="I40" s="311"/>
      <c r="J40" s="371"/>
      <c r="K40" s="371"/>
      <c r="L40" s="371"/>
      <c r="M40" s="383"/>
    </row>
    <row r="41" spans="1:13">
      <c r="A41" s="6" t="s">
        <v>1613</v>
      </c>
      <c r="B41" s="6"/>
      <c r="C41" s="6"/>
      <c r="D41" s="3"/>
      <c r="E41" s="3"/>
      <c r="G41" s="306"/>
      <c r="H41" s="311"/>
      <c r="I41" s="311"/>
      <c r="J41" s="371"/>
      <c r="K41" s="371"/>
      <c r="L41" s="371"/>
      <c r="M41" s="383"/>
    </row>
    <row r="42" spans="1:13">
      <c r="A42" s="6" t="s">
        <v>1616</v>
      </c>
      <c r="B42" s="6">
        <v>15</v>
      </c>
      <c r="C42" s="6"/>
      <c r="D42" s="3"/>
      <c r="E42" s="3"/>
      <c r="J42" s="296"/>
      <c r="K42" s="296"/>
      <c r="L42" s="296"/>
    </row>
    <row r="43" spans="1:13">
      <c r="A43" s="6" t="s">
        <v>1612</v>
      </c>
      <c r="B43" s="6"/>
      <c r="C43" s="6"/>
      <c r="D43" s="3"/>
      <c r="E43" s="3"/>
      <c r="J43" s="296"/>
      <c r="K43" s="296"/>
      <c r="L43" s="296"/>
    </row>
    <row r="44" spans="1:13">
      <c r="A44" s="6" t="s">
        <v>1815</v>
      </c>
      <c r="B44" s="6"/>
      <c r="C44" s="6"/>
      <c r="D44" s="3"/>
      <c r="E44" s="3"/>
      <c r="J44" s="296"/>
      <c r="K44" s="296"/>
      <c r="L44" s="296"/>
    </row>
    <row r="45" spans="1:13">
      <c r="A45" s="6" t="s">
        <v>1624</v>
      </c>
      <c r="B45" s="6"/>
      <c r="C45" s="6"/>
      <c r="D45" s="3"/>
      <c r="E45" s="3"/>
    </row>
    <row r="46" spans="1:13" s="266" customFormat="1">
      <c r="A46" s="6" t="s">
        <v>1990</v>
      </c>
      <c r="B46" s="6">
        <v>13</v>
      </c>
      <c r="C46" s="6"/>
      <c r="D46" s="106" t="s">
        <v>1991</v>
      </c>
      <c r="E46" s="106"/>
      <c r="G46" s="306"/>
    </row>
    <row r="47" spans="1:13">
      <c r="A47" s="5" t="s">
        <v>1823</v>
      </c>
      <c r="B47" s="6"/>
      <c r="C47" s="6"/>
      <c r="D47" s="3"/>
      <c r="E47" s="3"/>
    </row>
    <row r="48" spans="1:13">
      <c r="A48" s="3" t="s">
        <v>2129</v>
      </c>
      <c r="B48" s="106">
        <v>16</v>
      </c>
      <c r="C48" s="106"/>
      <c r="D48" s="3"/>
      <c r="E48" s="3"/>
    </row>
    <row r="49" spans="1:5">
      <c r="A49" s="3"/>
      <c r="B49" s="4"/>
      <c r="C49" s="3"/>
      <c r="D49" s="3"/>
      <c r="E49" s="3"/>
    </row>
    <row r="50" spans="1:5">
      <c r="A50" s="3"/>
      <c r="B50" s="4"/>
      <c r="C50" s="3"/>
      <c r="D50" s="3"/>
      <c r="E50" s="3"/>
    </row>
    <row r="51" spans="1:5">
      <c r="A51" s="3"/>
      <c r="B51" s="4"/>
      <c r="C51" s="3"/>
      <c r="D51" s="3"/>
      <c r="E51" s="3"/>
    </row>
    <row r="52" spans="1:5">
      <c r="A52" s="3"/>
      <c r="B52" s="4"/>
      <c r="C52" s="3"/>
      <c r="D52" s="3"/>
      <c r="E52" s="3"/>
    </row>
    <row r="53" spans="1:5">
      <c r="A53" s="3"/>
      <c r="B53" s="4"/>
      <c r="C53" s="3"/>
      <c r="D53" s="3"/>
      <c r="E53" s="3"/>
    </row>
    <row r="54" spans="1:5">
      <c r="A54" s="3"/>
      <c r="B54" s="4"/>
      <c r="C54" s="3"/>
      <c r="D54" s="3"/>
      <c r="E54" s="3"/>
    </row>
    <row r="55" spans="1:5">
      <c r="A55" s="3"/>
      <c r="B55" s="4"/>
      <c r="C55" s="3"/>
      <c r="D55" s="3"/>
      <c r="E55" s="3"/>
    </row>
    <row r="56" spans="1:5">
      <c r="A56" s="3"/>
      <c r="B56" s="4"/>
      <c r="C56" s="3"/>
      <c r="D56" s="3"/>
      <c r="E56" s="3"/>
    </row>
    <row r="57" spans="1:5">
      <c r="A57" s="3"/>
      <c r="B57" s="4"/>
      <c r="C57" s="3"/>
      <c r="D57" s="3"/>
      <c r="E57" s="3"/>
    </row>
    <row r="58" spans="1:5">
      <c r="A58" s="3"/>
      <c r="B58" s="4"/>
      <c r="C58" s="3"/>
      <c r="D58" s="3"/>
      <c r="E58" s="3"/>
    </row>
    <row r="59" spans="1:5">
      <c r="A59" s="3"/>
      <c r="B59" s="4"/>
      <c r="C59" s="3"/>
      <c r="D59" s="3"/>
      <c r="E59" s="3"/>
    </row>
    <row r="60" spans="1:5">
      <c r="A60" s="3"/>
      <c r="B60" s="4"/>
      <c r="C60" s="3"/>
      <c r="D60" s="3"/>
      <c r="E60" s="3"/>
    </row>
    <row r="61" spans="1:5">
      <c r="A61" s="3"/>
      <c r="B61" s="4"/>
      <c r="C61" s="3"/>
      <c r="D61" s="3"/>
      <c r="E61" s="3"/>
    </row>
    <row r="62" spans="1:5">
      <c r="A62" s="3"/>
      <c r="B62" s="4"/>
      <c r="C62" s="3"/>
      <c r="D62" s="3"/>
      <c r="E62" s="3"/>
    </row>
    <row r="63" spans="1:5">
      <c r="A63" s="3"/>
      <c r="B63" s="4"/>
      <c r="C63" s="3"/>
      <c r="D63" s="3"/>
      <c r="E63" s="3"/>
    </row>
    <row r="64" spans="1:5">
      <c r="A64" s="3"/>
      <c r="B64" s="4"/>
      <c r="C64" s="3"/>
      <c r="D64" s="3"/>
      <c r="E64" s="3"/>
    </row>
    <row r="65" spans="1:5">
      <c r="A65" s="3"/>
      <c r="B65" s="4"/>
      <c r="C65" s="3"/>
      <c r="D65" s="3"/>
      <c r="E65" s="3"/>
    </row>
    <row r="66" spans="1:5">
      <c r="A66" s="3"/>
      <c r="B66" s="4"/>
      <c r="C66" s="3"/>
      <c r="D66" s="3"/>
      <c r="E66" s="3"/>
    </row>
    <row r="67" spans="1:5">
      <c r="A67" s="3"/>
      <c r="B67" s="4"/>
      <c r="C67" s="3"/>
      <c r="D67" s="3"/>
      <c r="E67" s="3"/>
    </row>
    <row r="68" spans="1:5">
      <c r="A68" s="3"/>
      <c r="B68" s="4"/>
      <c r="C68" s="3"/>
      <c r="D68" s="3"/>
      <c r="E68" s="3"/>
    </row>
    <row r="69" spans="1:5">
      <c r="A69" s="3"/>
      <c r="B69" s="4"/>
      <c r="C69" s="3"/>
      <c r="D69" s="3"/>
      <c r="E69" s="3"/>
    </row>
    <row r="70" spans="1:5">
      <c r="A70" s="3"/>
      <c r="B70" s="4"/>
      <c r="C70" s="3"/>
      <c r="D70" s="3"/>
      <c r="E70" s="3"/>
    </row>
    <row r="71" spans="1:5">
      <c r="A71" s="3"/>
      <c r="B71" s="4"/>
      <c r="C71" s="3"/>
      <c r="D71" s="3"/>
      <c r="E71" s="3"/>
    </row>
    <row r="72" spans="1:5">
      <c r="A72" s="3"/>
      <c r="B72" s="4"/>
      <c r="C72" s="3"/>
      <c r="D72" s="3"/>
      <c r="E72" s="3"/>
    </row>
    <row r="73" spans="1:5">
      <c r="A73" s="3"/>
      <c r="B73" s="4"/>
      <c r="C73" s="3"/>
      <c r="D73" s="3"/>
      <c r="E73" s="3"/>
    </row>
    <row r="74" spans="1:5">
      <c r="A74" s="3"/>
      <c r="B74" s="4"/>
      <c r="C74" s="3"/>
      <c r="D74" s="3"/>
      <c r="E74" s="3"/>
    </row>
    <row r="75" spans="1:5">
      <c r="A75" s="3"/>
      <c r="B75" s="4"/>
      <c r="C75" s="3"/>
      <c r="D75" s="3"/>
      <c r="E75" s="3"/>
    </row>
    <row r="76" spans="1:5">
      <c r="A76" s="3"/>
      <c r="B76" s="4"/>
      <c r="C76" s="3"/>
      <c r="D76" s="3"/>
      <c r="E76" s="3"/>
    </row>
    <row r="77" spans="1:5">
      <c r="A77" s="3"/>
      <c r="B77" s="4"/>
      <c r="C77" s="3"/>
      <c r="D77" s="3"/>
      <c r="E77" s="3"/>
    </row>
    <row r="78" spans="1:5">
      <c r="A78" s="3"/>
      <c r="B78" s="4"/>
      <c r="C78" s="3"/>
      <c r="D78" s="3"/>
      <c r="E78" s="3"/>
    </row>
    <row r="79" spans="1:5">
      <c r="A79" s="3"/>
      <c r="B79" s="4"/>
      <c r="C79" s="3"/>
      <c r="D79" s="3"/>
      <c r="E79" s="3"/>
    </row>
    <row r="80" spans="1:5">
      <c r="A80" s="3"/>
      <c r="B80" s="4"/>
      <c r="C80" s="3"/>
      <c r="D80" s="3"/>
      <c r="E80" s="3"/>
    </row>
    <row r="81" spans="1:5">
      <c r="A81" s="3"/>
      <c r="B81" s="4"/>
      <c r="C81" s="3"/>
      <c r="D81" s="3"/>
      <c r="E81" s="3"/>
    </row>
    <row r="82" spans="1:5">
      <c r="A82" s="3"/>
      <c r="B82" s="4"/>
      <c r="C82" s="3"/>
      <c r="D82" s="3"/>
      <c r="E82" s="3"/>
    </row>
    <row r="83" spans="1:5">
      <c r="A83" s="3"/>
      <c r="B83" s="4"/>
      <c r="C83" s="3"/>
      <c r="D83" s="3"/>
      <c r="E83" s="3"/>
    </row>
    <row r="84" spans="1:5">
      <c r="A84" s="3"/>
      <c r="B84" s="4"/>
      <c r="C84" s="3"/>
      <c r="D84" s="3"/>
      <c r="E84" s="3"/>
    </row>
    <row r="85" spans="1:5">
      <c r="A85" s="3"/>
      <c r="B85" s="4"/>
      <c r="C85" s="3"/>
      <c r="D85" s="3"/>
      <c r="E85" s="3"/>
    </row>
    <row r="86" spans="1:5">
      <c r="A86" s="3"/>
      <c r="B86" s="4"/>
      <c r="C86" s="3"/>
      <c r="D86" s="3"/>
      <c r="E86" s="3"/>
    </row>
    <row r="87" spans="1:5">
      <c r="A87" s="3"/>
      <c r="B87" s="4"/>
      <c r="C87" s="3"/>
      <c r="D87" s="3"/>
      <c r="E87" s="3"/>
    </row>
    <row r="88" spans="1:5">
      <c r="A88" s="3"/>
      <c r="B88" s="4"/>
      <c r="C88" s="3"/>
      <c r="D88" s="3"/>
      <c r="E88" s="3"/>
    </row>
    <row r="89" spans="1:5">
      <c r="A89" s="3"/>
      <c r="B89" s="4"/>
      <c r="C89" s="3"/>
      <c r="D89" s="3"/>
      <c r="E89" s="3"/>
    </row>
    <row r="90" spans="1:5">
      <c r="A90" s="3"/>
      <c r="B90" s="4"/>
      <c r="C90" s="3"/>
      <c r="D90" s="3"/>
      <c r="E90" s="3"/>
    </row>
    <row r="91" spans="1:5">
      <c r="A91" s="3"/>
      <c r="B91" s="4"/>
      <c r="C91" s="3"/>
      <c r="D91" s="3"/>
      <c r="E91" s="3"/>
    </row>
    <row r="92" spans="1:5">
      <c r="A92" s="3"/>
      <c r="B92" s="4"/>
      <c r="C92" s="3"/>
      <c r="D92" s="3"/>
      <c r="E92" s="3"/>
    </row>
    <row r="93" spans="1:5">
      <c r="A93" s="3"/>
      <c r="B93" s="4"/>
      <c r="C93" s="3"/>
      <c r="D93" s="3"/>
      <c r="E93" s="3"/>
    </row>
    <row r="94" spans="1:5">
      <c r="A94" s="3"/>
      <c r="B94" s="4"/>
      <c r="C94" s="3"/>
      <c r="D94" s="3"/>
      <c r="E94" s="3"/>
    </row>
    <row r="95" spans="1:5">
      <c r="A95" s="3"/>
      <c r="B95" s="4"/>
      <c r="C95" s="3"/>
      <c r="D95" s="3"/>
      <c r="E95" s="3"/>
    </row>
    <row r="96" spans="1:5">
      <c r="A96" s="3"/>
      <c r="B96" s="4"/>
      <c r="C96" s="3"/>
      <c r="D96" s="3"/>
      <c r="E96" s="3"/>
    </row>
    <row r="97" spans="1:5">
      <c r="A97" s="3"/>
      <c r="B97" s="4"/>
      <c r="C97" s="3"/>
      <c r="D97" s="3"/>
      <c r="E97" s="3"/>
    </row>
    <row r="98" spans="1:5">
      <c r="A98" s="3"/>
      <c r="B98" s="4"/>
      <c r="C98" s="3"/>
      <c r="D98" s="3"/>
      <c r="E98" s="3"/>
    </row>
    <row r="99" spans="1:5">
      <c r="A99" s="3"/>
      <c r="B99" s="4"/>
      <c r="C99" s="3"/>
      <c r="D99" s="3"/>
      <c r="E99" s="3"/>
    </row>
    <row r="100" spans="1:5">
      <c r="A100" s="3"/>
      <c r="B100" s="4"/>
      <c r="C100" s="3"/>
      <c r="D100" s="3"/>
      <c r="E100" s="3"/>
    </row>
    <row r="101" spans="1:5">
      <c r="A101" s="3"/>
      <c r="B101" s="4"/>
      <c r="C101" s="3"/>
      <c r="D101" s="3"/>
      <c r="E101" s="3"/>
    </row>
    <row r="102" spans="1:5">
      <c r="A102" s="3"/>
      <c r="B102" s="4"/>
      <c r="C102" s="3"/>
      <c r="D102" s="3"/>
      <c r="E102" s="3"/>
    </row>
    <row r="103" spans="1:5">
      <c r="A103" s="3"/>
      <c r="B103" s="4"/>
      <c r="C103" s="3"/>
      <c r="D103" s="3"/>
      <c r="E103" s="3"/>
    </row>
    <row r="104" spans="1:5">
      <c r="A104" s="3"/>
      <c r="B104" s="4"/>
      <c r="C104" s="3"/>
      <c r="D104" s="3"/>
      <c r="E104" s="3"/>
    </row>
    <row r="105" spans="1:5">
      <c r="A105" s="3"/>
      <c r="B105" s="4"/>
      <c r="C105" s="3"/>
      <c r="D105" s="3"/>
      <c r="E105" s="3"/>
    </row>
    <row r="106" spans="1:5">
      <c r="A106" s="3"/>
      <c r="B106" s="4"/>
      <c r="C106" s="3"/>
      <c r="D106" s="3"/>
      <c r="E106" s="3"/>
    </row>
    <row r="107" spans="1:5">
      <c r="A107" s="3"/>
      <c r="B107" s="4"/>
      <c r="C107" s="3"/>
      <c r="D107" s="3"/>
      <c r="E107" s="3"/>
    </row>
    <row r="108" spans="1:5">
      <c r="A108" s="3"/>
      <c r="B108" s="4"/>
      <c r="C108" s="3"/>
      <c r="D108" s="3"/>
      <c r="E108" s="3"/>
    </row>
    <row r="109" spans="1:5">
      <c r="A109" s="3"/>
      <c r="B109" s="4"/>
      <c r="C109" s="3"/>
      <c r="D109" s="3"/>
      <c r="E109" s="3"/>
    </row>
    <row r="110" spans="1:5">
      <c r="A110" s="3"/>
      <c r="B110" s="4"/>
      <c r="C110" s="3"/>
      <c r="D110" s="3"/>
      <c r="E110" s="3"/>
    </row>
    <row r="111" spans="1:5">
      <c r="A111" s="3"/>
      <c r="B111" s="4"/>
      <c r="C111" s="3"/>
      <c r="D111" s="3"/>
      <c r="E111" s="3"/>
    </row>
    <row r="112" spans="1:5">
      <c r="A112" s="3"/>
      <c r="B112" s="4"/>
      <c r="C112" s="3"/>
      <c r="D112" s="3"/>
      <c r="E112" s="3"/>
    </row>
    <row r="113" spans="1:5">
      <c r="A113" s="3"/>
      <c r="B113" s="4"/>
      <c r="C113" s="3"/>
      <c r="D113" s="3"/>
      <c r="E113" s="3"/>
    </row>
    <row r="114" spans="1:5">
      <c r="A114" s="3"/>
      <c r="B114" s="4"/>
      <c r="C114" s="3"/>
      <c r="D114" s="3"/>
      <c r="E114" s="3"/>
    </row>
    <row r="115" spans="1:5">
      <c r="A115" s="3"/>
      <c r="B115" s="4"/>
      <c r="C115" s="3"/>
      <c r="D115" s="3"/>
      <c r="E115" s="3"/>
    </row>
    <row r="116" spans="1:5">
      <c r="A116" s="3"/>
      <c r="B116" s="4"/>
      <c r="C116" s="3"/>
      <c r="D116" s="3"/>
      <c r="E116" s="3"/>
    </row>
    <row r="117" spans="1:5">
      <c r="A117" s="3"/>
      <c r="B117" s="4"/>
      <c r="C117" s="3"/>
      <c r="D117" s="3"/>
      <c r="E117" s="3"/>
    </row>
    <row r="118" spans="1:5">
      <c r="A118" s="3"/>
      <c r="B118" s="4"/>
      <c r="C118" s="3"/>
      <c r="D118" s="3"/>
      <c r="E118" s="3"/>
    </row>
    <row r="119" spans="1:5">
      <c r="A119" s="3"/>
      <c r="B119" s="4"/>
      <c r="C119" s="3"/>
      <c r="D119" s="3"/>
      <c r="E119" s="3"/>
    </row>
    <row r="120" spans="1:5">
      <c r="A120" s="3"/>
      <c r="B120" s="4"/>
      <c r="C120" s="3"/>
      <c r="D120" s="3"/>
      <c r="E120" s="3"/>
    </row>
    <row r="121" spans="1:5">
      <c r="A121" s="3"/>
      <c r="B121" s="4"/>
      <c r="C121" s="3"/>
      <c r="D121" s="3"/>
      <c r="E121" s="3"/>
    </row>
    <row r="122" spans="1:5">
      <c r="A122" s="3"/>
      <c r="B122" s="4"/>
      <c r="C122" s="3"/>
      <c r="D122" s="3"/>
      <c r="E122" s="3"/>
    </row>
    <row r="123" spans="1:5">
      <c r="A123" s="3"/>
      <c r="B123" s="4"/>
      <c r="C123" s="3"/>
      <c r="D123" s="3"/>
      <c r="E123" s="3"/>
    </row>
    <row r="124" spans="1:5">
      <c r="A124" s="3"/>
      <c r="B124" s="4"/>
      <c r="C124" s="3"/>
      <c r="D124" s="3"/>
      <c r="E124" s="3"/>
    </row>
    <row r="125" spans="1:5">
      <c r="A125" s="3"/>
      <c r="B125" s="4"/>
      <c r="C125" s="3"/>
      <c r="D125" s="3"/>
      <c r="E125" s="3"/>
    </row>
    <row r="126" spans="1:5">
      <c r="A126" s="3"/>
      <c r="B126" s="4"/>
      <c r="C126" s="3"/>
      <c r="D126" s="3"/>
      <c r="E126" s="3"/>
    </row>
    <row r="127" spans="1:5">
      <c r="A127" s="3"/>
      <c r="B127" s="4"/>
      <c r="C127" s="3"/>
      <c r="D127" s="3"/>
      <c r="E127" s="3"/>
    </row>
    <row r="128" spans="1:5">
      <c r="A128" s="3"/>
      <c r="B128" s="4"/>
      <c r="C128" s="3"/>
      <c r="D128" s="3"/>
      <c r="E128" s="3"/>
    </row>
    <row r="129" spans="1:5">
      <c r="A129" s="3"/>
      <c r="B129" s="4"/>
      <c r="C129" s="3"/>
      <c r="D129" s="3"/>
      <c r="E129" s="3"/>
    </row>
    <row r="130" spans="1:5">
      <c r="A130" s="3"/>
      <c r="B130" s="4"/>
      <c r="C130" s="3"/>
      <c r="D130" s="3"/>
      <c r="E130" s="3"/>
    </row>
    <row r="131" spans="1:5">
      <c r="A131" s="3"/>
      <c r="B131" s="4"/>
      <c r="C131" s="3"/>
      <c r="D131" s="3"/>
      <c r="E131" s="3"/>
    </row>
    <row r="132" spans="1:5">
      <c r="A132" s="3"/>
      <c r="B132" s="4"/>
      <c r="C132" s="3"/>
      <c r="D132" s="3"/>
      <c r="E132" s="3"/>
    </row>
    <row r="133" spans="1:5">
      <c r="A133" s="3"/>
      <c r="B133" s="4"/>
      <c r="C133" s="3"/>
      <c r="D133" s="3"/>
      <c r="E133" s="3"/>
    </row>
    <row r="134" spans="1:5">
      <c r="A134" s="3"/>
      <c r="B134" s="4"/>
      <c r="C134" s="3"/>
      <c r="D134" s="3"/>
      <c r="E134" s="3"/>
    </row>
    <row r="135" spans="1:5">
      <c r="A135" s="3"/>
      <c r="B135" s="4"/>
      <c r="C135" s="3"/>
      <c r="D135" s="3"/>
      <c r="E135" s="3"/>
    </row>
    <row r="136" spans="1:5">
      <c r="A136" s="3"/>
      <c r="B136" s="4"/>
      <c r="C136" s="3"/>
      <c r="D136" s="3"/>
      <c r="E136" s="3"/>
    </row>
    <row r="137" spans="1:5">
      <c r="A137" s="3"/>
      <c r="B137" s="4"/>
      <c r="C137" s="3"/>
      <c r="D137" s="3"/>
      <c r="E137" s="3"/>
    </row>
    <row r="138" spans="1:5">
      <c r="A138" s="3"/>
      <c r="B138" s="4"/>
      <c r="C138" s="3"/>
      <c r="D138" s="3"/>
      <c r="E138" s="3"/>
    </row>
    <row r="139" spans="1:5">
      <c r="A139" s="3"/>
      <c r="B139" s="4"/>
      <c r="C139" s="3"/>
      <c r="D139" s="3"/>
      <c r="E139" s="3"/>
    </row>
    <row r="140" spans="1:5">
      <c r="A140" s="3"/>
      <c r="B140" s="4"/>
      <c r="C140" s="3"/>
      <c r="D140" s="3"/>
      <c r="E140" s="3"/>
    </row>
    <row r="141" spans="1:5">
      <c r="A141" s="3"/>
      <c r="B141" s="4"/>
      <c r="C141" s="3"/>
      <c r="D141" s="3"/>
      <c r="E141" s="3"/>
    </row>
    <row r="142" spans="1:5">
      <c r="A142" s="3"/>
      <c r="B142" s="4"/>
      <c r="C142" s="3"/>
      <c r="D142" s="3"/>
      <c r="E142" s="3"/>
    </row>
    <row r="143" spans="1:5">
      <c r="A143" s="3"/>
      <c r="B143" s="4"/>
      <c r="C143" s="3"/>
      <c r="D143" s="3"/>
      <c r="E143" s="3"/>
    </row>
    <row r="144" spans="1:5">
      <c r="A144" s="3"/>
      <c r="B144" s="4"/>
      <c r="C144" s="3"/>
      <c r="D144" s="3"/>
      <c r="E144" s="3"/>
    </row>
    <row r="145" spans="1:5">
      <c r="A145" s="3"/>
      <c r="B145" s="4"/>
      <c r="C145" s="3"/>
      <c r="D145" s="3"/>
      <c r="E145" s="3"/>
    </row>
    <row r="146" spans="1:5">
      <c r="A146" s="3"/>
      <c r="B146" s="4"/>
      <c r="C146" s="3"/>
      <c r="D146" s="3"/>
      <c r="E146" s="3"/>
    </row>
    <row r="147" spans="1:5">
      <c r="A147" s="3"/>
      <c r="B147" s="4"/>
      <c r="C147" s="3"/>
      <c r="D147" s="3"/>
      <c r="E147" s="3"/>
    </row>
    <row r="148" spans="1:5">
      <c r="A148" s="3"/>
      <c r="B148" s="4"/>
      <c r="C148" s="3"/>
      <c r="D148" s="3"/>
      <c r="E148" s="3"/>
    </row>
    <row r="149" spans="1:5">
      <c r="A149" s="3"/>
      <c r="B149" s="4"/>
      <c r="C149" s="3"/>
      <c r="D149" s="3"/>
      <c r="E149" s="3"/>
    </row>
    <row r="150" spans="1:5">
      <c r="A150" s="3"/>
      <c r="B150" s="4"/>
      <c r="C150" s="3"/>
      <c r="D150" s="3"/>
      <c r="E150" s="3"/>
    </row>
    <row r="151" spans="1:5">
      <c r="A151" s="3"/>
      <c r="B151" s="4"/>
      <c r="C151" s="3"/>
      <c r="D151" s="3"/>
      <c r="E151" s="3"/>
    </row>
    <row r="152" spans="1:5">
      <c r="A152" s="3"/>
      <c r="B152" s="4"/>
      <c r="C152" s="3"/>
      <c r="D152" s="3"/>
      <c r="E152" s="3"/>
    </row>
    <row r="153" spans="1:5">
      <c r="A153" s="3"/>
      <c r="B153" s="4"/>
      <c r="C153" s="3"/>
      <c r="D153" s="3"/>
      <c r="E153" s="3"/>
    </row>
    <row r="154" spans="1:5">
      <c r="A154" s="3"/>
      <c r="B154" s="4"/>
      <c r="C154" s="3"/>
      <c r="D154" s="3"/>
      <c r="E154" s="3"/>
    </row>
    <row r="155" spans="1:5">
      <c r="A155" s="3"/>
      <c r="B155" s="4"/>
      <c r="C155" s="3"/>
      <c r="D155" s="3"/>
      <c r="E155" s="3"/>
    </row>
    <row r="156" spans="1:5">
      <c r="A156" s="3"/>
      <c r="B156" s="4"/>
      <c r="C156" s="3"/>
      <c r="D156" s="3"/>
      <c r="E156" s="3"/>
    </row>
    <row r="157" spans="1:5">
      <c r="A157" s="3"/>
      <c r="B157" s="4"/>
      <c r="C157" s="3"/>
      <c r="D157" s="3"/>
      <c r="E157" s="3"/>
    </row>
    <row r="158" spans="1:5">
      <c r="A158" s="3"/>
      <c r="B158" s="4"/>
      <c r="C158" s="3"/>
      <c r="D158" s="3"/>
      <c r="E158" s="3"/>
    </row>
    <row r="159" spans="1:5">
      <c r="A159" s="3"/>
      <c r="B159" s="4"/>
      <c r="C159" s="3"/>
      <c r="D159" s="3"/>
      <c r="E159" s="3"/>
    </row>
    <row r="160" spans="1:5">
      <c r="A160" s="3"/>
      <c r="B160" s="4"/>
      <c r="C160" s="3"/>
      <c r="D160" s="3"/>
      <c r="E160" s="3"/>
    </row>
    <row r="161" spans="1:5">
      <c r="A161" s="3"/>
      <c r="B161" s="4"/>
      <c r="C161" s="3"/>
      <c r="D161" s="3"/>
      <c r="E161" s="3"/>
    </row>
    <row r="162" spans="1:5">
      <c r="A162" s="3"/>
      <c r="B162" s="4"/>
      <c r="C162" s="3"/>
      <c r="D162" s="3"/>
      <c r="E162" s="3"/>
    </row>
    <row r="163" spans="1:5">
      <c r="A163" s="3"/>
      <c r="B163" s="4"/>
      <c r="C163" s="3"/>
      <c r="D163" s="3"/>
      <c r="E163" s="3"/>
    </row>
    <row r="164" spans="1:5">
      <c r="A164" s="3"/>
      <c r="B164" s="4"/>
      <c r="C164" s="3"/>
      <c r="D164" s="3"/>
      <c r="E164" s="3"/>
    </row>
    <row r="165" spans="1:5">
      <c r="A165" s="3"/>
      <c r="B165" s="4"/>
      <c r="C165" s="3"/>
      <c r="D165" s="3"/>
      <c r="E165" s="3"/>
    </row>
    <row r="166" spans="1:5">
      <c r="A166" s="3"/>
      <c r="B166" s="4"/>
      <c r="C166" s="3"/>
      <c r="D166" s="3"/>
      <c r="E166" s="3"/>
    </row>
    <row r="167" spans="1:5">
      <c r="A167" s="3"/>
      <c r="B167" s="4"/>
      <c r="C167" s="3"/>
      <c r="D167" s="3"/>
      <c r="E167" s="3"/>
    </row>
    <row r="168" spans="1:5">
      <c r="A168" s="3"/>
      <c r="B168" s="4"/>
      <c r="C168" s="3"/>
      <c r="D168" s="3"/>
      <c r="E168" s="3"/>
    </row>
    <row r="169" spans="1:5">
      <c r="A169" s="3"/>
      <c r="B169" s="4"/>
      <c r="C169" s="3"/>
      <c r="D169" s="3"/>
      <c r="E169" s="3"/>
    </row>
    <row r="170" spans="1:5">
      <c r="A170" s="3"/>
      <c r="B170" s="4"/>
      <c r="C170" s="3"/>
      <c r="D170" s="3"/>
      <c r="E170" s="3"/>
    </row>
    <row r="171" spans="1:5">
      <c r="A171" s="3"/>
      <c r="B171" s="4"/>
      <c r="C171" s="3"/>
      <c r="D171" s="3"/>
      <c r="E171" s="3"/>
    </row>
    <row r="172" spans="1:5">
      <c r="A172" s="3"/>
      <c r="B172" s="4"/>
      <c r="C172" s="3"/>
      <c r="D172" s="3"/>
      <c r="E172" s="3"/>
    </row>
    <row r="173" spans="1:5">
      <c r="A173" s="3"/>
      <c r="B173" s="4"/>
      <c r="C173" s="3"/>
      <c r="D173" s="3"/>
      <c r="E173" s="3"/>
    </row>
    <row r="174" spans="1:5">
      <c r="A174" s="3"/>
      <c r="B174" s="4"/>
      <c r="C174" s="3"/>
      <c r="D174" s="3"/>
      <c r="E174" s="3"/>
    </row>
    <row r="175" spans="1:5">
      <c r="A175" s="3"/>
      <c r="B175" s="4"/>
      <c r="C175" s="3"/>
      <c r="D175" s="3"/>
      <c r="E175" s="3"/>
    </row>
    <row r="176" spans="1:5">
      <c r="A176" s="3"/>
      <c r="B176" s="4"/>
      <c r="C176" s="3"/>
      <c r="D176" s="3"/>
      <c r="E176" s="3"/>
    </row>
    <row r="177" spans="1:5">
      <c r="A177" s="3"/>
      <c r="B177" s="4"/>
      <c r="C177" s="3"/>
      <c r="D177" s="3"/>
      <c r="E177" s="3"/>
    </row>
    <row r="178" spans="1:5">
      <c r="A178" s="3"/>
      <c r="B178" s="4"/>
      <c r="C178" s="3"/>
      <c r="D178" s="3"/>
      <c r="E178" s="3"/>
    </row>
    <row r="179" spans="1:5">
      <c r="A179" s="3"/>
      <c r="B179" s="4"/>
      <c r="C179" s="3"/>
      <c r="D179" s="3"/>
      <c r="E179" s="3"/>
    </row>
    <row r="180" spans="1:5">
      <c r="A180" s="3"/>
      <c r="B180" s="4"/>
      <c r="C180" s="3"/>
      <c r="D180" s="3"/>
      <c r="E180" s="3"/>
    </row>
    <row r="181" spans="1:5">
      <c r="A181" s="3"/>
      <c r="B181" s="4"/>
      <c r="C181" s="3"/>
      <c r="D181" s="3"/>
      <c r="E181" s="3"/>
    </row>
    <row r="182" spans="1:5">
      <c r="A182" s="3"/>
      <c r="B182" s="4"/>
      <c r="C182" s="3"/>
      <c r="D182" s="3"/>
      <c r="E182" s="3"/>
    </row>
    <row r="183" spans="1:5">
      <c r="A183" s="3"/>
      <c r="B183" s="4"/>
      <c r="C183" s="3"/>
      <c r="D183" s="3"/>
      <c r="E183" s="3"/>
    </row>
    <row r="184" spans="1:5">
      <c r="A184" s="3"/>
      <c r="B184" s="4"/>
      <c r="C184" s="3"/>
      <c r="D184" s="3"/>
      <c r="E184" s="3"/>
    </row>
    <row r="185" spans="1:5">
      <c r="A185" s="3"/>
      <c r="B185" s="4"/>
      <c r="C185" s="3"/>
      <c r="D185" s="3"/>
      <c r="E185" s="3"/>
    </row>
    <row r="186" spans="1:5">
      <c r="A186" s="3"/>
      <c r="B186" s="4"/>
      <c r="C186" s="3"/>
      <c r="D186" s="3"/>
      <c r="E186" s="3"/>
    </row>
    <row r="187" spans="1:5">
      <c r="A187" s="3"/>
      <c r="B187" s="4"/>
      <c r="C187" s="3"/>
      <c r="D187" s="3"/>
      <c r="E187" s="3"/>
    </row>
    <row r="188" spans="1:5">
      <c r="A188" s="3"/>
      <c r="B188" s="4"/>
      <c r="C188" s="3"/>
      <c r="D188" s="3"/>
      <c r="E188" s="3"/>
    </row>
    <row r="189" spans="1:5">
      <c r="A189" s="3"/>
      <c r="B189" s="4"/>
      <c r="C189" s="3"/>
      <c r="D189" s="3"/>
      <c r="E189" s="3"/>
    </row>
    <row r="190" spans="1:5">
      <c r="A190" s="3"/>
      <c r="B190" s="4"/>
      <c r="C190" s="3"/>
      <c r="D190" s="3"/>
      <c r="E190" s="3"/>
    </row>
    <row r="191" spans="1:5">
      <c r="A191" s="3"/>
      <c r="B191" s="4"/>
      <c r="C191" s="3"/>
      <c r="D191" s="3"/>
      <c r="E191" s="3"/>
    </row>
    <row r="192" spans="1:5">
      <c r="A192" s="3"/>
      <c r="B192" s="4"/>
      <c r="C192" s="3"/>
      <c r="D192" s="3"/>
      <c r="E192" s="3"/>
    </row>
    <row r="193" spans="1:5">
      <c r="A193" s="3"/>
      <c r="B193" s="4"/>
      <c r="C193" s="3"/>
      <c r="D193" s="3"/>
      <c r="E193" s="3"/>
    </row>
    <row r="194" spans="1:5">
      <c r="A194" s="3"/>
      <c r="B194" s="4"/>
      <c r="C194" s="3"/>
      <c r="D194" s="3"/>
      <c r="E194" s="3"/>
    </row>
    <row r="195" spans="1:5">
      <c r="A195" s="3"/>
      <c r="B195" s="4"/>
      <c r="C195" s="3"/>
      <c r="D195" s="3"/>
      <c r="E195" s="3"/>
    </row>
    <row r="196" spans="1:5">
      <c r="A196" s="3"/>
      <c r="B196" s="4"/>
      <c r="C196" s="3"/>
      <c r="D196" s="3"/>
      <c r="E196" s="3"/>
    </row>
    <row r="197" spans="1:5">
      <c r="A197" s="3"/>
      <c r="B197" s="4"/>
      <c r="C197" s="3"/>
      <c r="D197" s="3"/>
      <c r="E197" s="3"/>
    </row>
    <row r="198" spans="1:5">
      <c r="A198" s="3"/>
      <c r="B198" s="4"/>
      <c r="C198" s="3"/>
      <c r="D198" s="3"/>
      <c r="E198" s="3"/>
    </row>
    <row r="199" spans="1:5">
      <c r="A199" s="3"/>
      <c r="B199" s="4"/>
      <c r="C199" s="3"/>
      <c r="D199" s="3"/>
      <c r="E199" s="3"/>
    </row>
    <row r="200" spans="1:5">
      <c r="A200" s="3"/>
      <c r="B200" s="4"/>
      <c r="C200" s="3"/>
      <c r="D200" s="3"/>
      <c r="E200" s="3"/>
    </row>
    <row r="201" spans="1:5">
      <c r="A201" s="3"/>
      <c r="B201" s="4"/>
      <c r="C201" s="3"/>
      <c r="D201" s="3"/>
      <c r="E201" s="3"/>
    </row>
    <row r="202" spans="1:5">
      <c r="A202" s="3"/>
      <c r="B202" s="4"/>
      <c r="C202" s="3"/>
      <c r="D202" s="3"/>
      <c r="E202" s="3"/>
    </row>
    <row r="203" spans="1:5">
      <c r="A203" s="3"/>
      <c r="B203" s="4"/>
      <c r="C203" s="3"/>
      <c r="D203" s="3"/>
      <c r="E203" s="3"/>
    </row>
    <row r="204" spans="1:5">
      <c r="A204" s="3"/>
      <c r="B204" s="4"/>
      <c r="C204" s="3"/>
      <c r="D204" s="3"/>
      <c r="E204" s="3"/>
    </row>
    <row r="205" spans="1:5">
      <c r="A205" s="3"/>
      <c r="B205" s="4"/>
      <c r="C205" s="3"/>
      <c r="D205" s="3"/>
      <c r="E205" s="3"/>
    </row>
    <row r="206" spans="1:5">
      <c r="A206" s="3"/>
      <c r="B206" s="4"/>
      <c r="C206" s="3"/>
      <c r="D206" s="3"/>
      <c r="E206" s="3"/>
    </row>
    <row r="207" spans="1:5">
      <c r="A207" s="3"/>
      <c r="B207" s="4"/>
      <c r="C207" s="3"/>
      <c r="D207" s="3"/>
      <c r="E207" s="3"/>
    </row>
    <row r="208" spans="1:5">
      <c r="A208" s="3"/>
      <c r="B208" s="4"/>
      <c r="C208" s="3"/>
      <c r="D208" s="3"/>
      <c r="E208" s="3"/>
    </row>
    <row r="209" spans="1:5">
      <c r="A209" s="3"/>
      <c r="B209" s="4"/>
      <c r="C209" s="3"/>
      <c r="D209" s="3"/>
      <c r="E209" s="3"/>
    </row>
    <row r="210" spans="1:5">
      <c r="A210" s="3"/>
      <c r="B210" s="4"/>
      <c r="C210" s="3"/>
      <c r="D210" s="3"/>
      <c r="E210" s="3"/>
    </row>
    <row r="211" spans="1:5">
      <c r="A211" s="3"/>
      <c r="B211" s="4"/>
      <c r="C211" s="3"/>
      <c r="D211" s="3"/>
      <c r="E211" s="3"/>
    </row>
    <row r="212" spans="1:5">
      <c r="A212" s="3"/>
      <c r="B212" s="4"/>
      <c r="C212" s="3"/>
      <c r="D212" s="3"/>
      <c r="E212" s="3"/>
    </row>
    <row r="213" spans="1:5">
      <c r="A213" s="3"/>
      <c r="B213" s="4"/>
      <c r="C213" s="3"/>
      <c r="D213" s="3"/>
      <c r="E213" s="3"/>
    </row>
    <row r="214" spans="1:5">
      <c r="A214" s="3"/>
      <c r="B214" s="4"/>
      <c r="C214" s="3"/>
      <c r="D214" s="3"/>
      <c r="E214" s="3"/>
    </row>
    <row r="215" spans="1:5">
      <c r="A215" s="3"/>
      <c r="B215" s="4"/>
      <c r="C215" s="3"/>
      <c r="D215" s="3"/>
      <c r="E215" s="3"/>
    </row>
    <row r="216" spans="1:5">
      <c r="A216" s="3"/>
      <c r="B216" s="4"/>
      <c r="C216" s="3"/>
      <c r="D216" s="3"/>
      <c r="E216" s="3"/>
    </row>
    <row r="217" spans="1:5">
      <c r="A217" s="3"/>
      <c r="B217" s="4"/>
      <c r="C217" s="3"/>
      <c r="D217" s="3"/>
      <c r="E217" s="3"/>
    </row>
    <row r="218" spans="1:5">
      <c r="A218" s="3"/>
      <c r="B218" s="4"/>
      <c r="C218" s="3"/>
      <c r="D218" s="3"/>
      <c r="E218" s="3"/>
    </row>
    <row r="219" spans="1:5">
      <c r="A219" s="3"/>
      <c r="B219" s="4"/>
      <c r="C219" s="3"/>
      <c r="D219" s="3"/>
      <c r="E219" s="3"/>
    </row>
    <row r="220" spans="1:5">
      <c r="A220" s="3"/>
      <c r="B220" s="4"/>
      <c r="C220" s="3"/>
      <c r="D220" s="3"/>
      <c r="E220" s="3"/>
    </row>
    <row r="221" spans="1:5">
      <c r="A221" s="3"/>
      <c r="B221" s="4"/>
      <c r="C221" s="3"/>
      <c r="D221" s="3"/>
      <c r="E221" s="3"/>
    </row>
    <row r="222" spans="1:5">
      <c r="A222" s="3"/>
      <c r="B222" s="4"/>
      <c r="C222" s="3"/>
      <c r="D222" s="3"/>
      <c r="E222" s="3"/>
    </row>
    <row r="223" spans="1:5">
      <c r="A223" s="3"/>
      <c r="B223" s="4"/>
      <c r="C223" s="3"/>
      <c r="D223" s="3"/>
      <c r="E223" s="3"/>
    </row>
    <row r="224" spans="1:5">
      <c r="A224" s="3"/>
      <c r="B224" s="4"/>
      <c r="C224" s="3"/>
      <c r="D224" s="3"/>
      <c r="E224" s="3"/>
    </row>
    <row r="225" spans="1:5">
      <c r="A225" s="3"/>
      <c r="B225" s="4"/>
      <c r="C225" s="3"/>
      <c r="D225" s="3"/>
      <c r="E225" s="3"/>
    </row>
    <row r="226" spans="1:5">
      <c r="A226" s="3"/>
      <c r="B226" s="4"/>
      <c r="C226" s="3"/>
      <c r="D226" s="3"/>
      <c r="E226" s="3"/>
    </row>
    <row r="227" spans="1:5">
      <c r="A227" s="3"/>
      <c r="B227" s="4"/>
      <c r="C227" s="3"/>
      <c r="D227" s="3"/>
      <c r="E227" s="3"/>
    </row>
    <row r="228" spans="1:5">
      <c r="A228" s="3"/>
      <c r="B228" s="4"/>
      <c r="C228" s="3"/>
      <c r="D228" s="3"/>
      <c r="E228" s="3"/>
    </row>
    <row r="229" spans="1:5">
      <c r="A229" s="3"/>
      <c r="B229" s="4"/>
      <c r="C229" s="3"/>
      <c r="D229" s="3"/>
      <c r="E229" s="3"/>
    </row>
    <row r="230" spans="1:5">
      <c r="A230" s="3"/>
      <c r="B230" s="4"/>
      <c r="C230" s="3"/>
      <c r="D230" s="3"/>
      <c r="E230" s="3"/>
    </row>
    <row r="231" spans="1:5">
      <c r="A231" s="3"/>
      <c r="B231" s="4"/>
      <c r="C231" s="3"/>
      <c r="D231" s="3"/>
      <c r="E231" s="3"/>
    </row>
    <row r="232" spans="1:5">
      <c r="A232" s="3"/>
      <c r="B232" s="4"/>
      <c r="C232" s="3"/>
      <c r="D232" s="3"/>
      <c r="E232" s="3"/>
    </row>
    <row r="233" spans="1:5">
      <c r="A233" s="3"/>
      <c r="B233" s="4"/>
      <c r="C233" s="3"/>
      <c r="D233" s="3"/>
      <c r="E233" s="3"/>
    </row>
    <row r="234" spans="1:5">
      <c r="A234" s="3"/>
      <c r="B234" s="4"/>
      <c r="C234" s="3"/>
      <c r="D234" s="3"/>
      <c r="E234" s="3"/>
    </row>
    <row r="235" spans="1:5">
      <c r="A235" s="3"/>
      <c r="B235" s="4"/>
      <c r="C235" s="3"/>
      <c r="D235" s="3"/>
      <c r="E235" s="3"/>
    </row>
    <row r="236" spans="1:5">
      <c r="A236" s="3"/>
      <c r="B236" s="4"/>
      <c r="C236" s="3"/>
      <c r="D236" s="3"/>
      <c r="E236" s="3"/>
    </row>
    <row r="237" spans="1:5">
      <c r="A237" s="3"/>
      <c r="B237" s="4"/>
      <c r="C237" s="3"/>
      <c r="D237" s="3"/>
      <c r="E237" s="3"/>
    </row>
    <row r="238" spans="1:5">
      <c r="A238" s="3"/>
      <c r="B238" s="4"/>
      <c r="C238" s="3"/>
      <c r="D238" s="3"/>
      <c r="E238" s="3"/>
    </row>
    <row r="239" spans="1:5">
      <c r="A239" s="3"/>
      <c r="B239" s="4"/>
      <c r="C239" s="3"/>
      <c r="D239" s="3"/>
      <c r="E239" s="3"/>
    </row>
    <row r="240" spans="1:5">
      <c r="A240" s="3"/>
      <c r="B240" s="4"/>
      <c r="C240" s="3"/>
      <c r="D240" s="3"/>
      <c r="E240" s="3"/>
    </row>
    <row r="241" spans="1:5">
      <c r="A241" s="3"/>
      <c r="B241" s="4"/>
      <c r="C241" s="3"/>
      <c r="D241" s="3"/>
      <c r="E241" s="3"/>
    </row>
    <row r="242" spans="1:5">
      <c r="A242" s="3"/>
      <c r="B242" s="4"/>
      <c r="C242" s="3"/>
      <c r="D242" s="3"/>
      <c r="E242" s="3"/>
    </row>
    <row r="243" spans="1:5">
      <c r="A243" s="3"/>
      <c r="B243" s="4"/>
      <c r="C243" s="3"/>
      <c r="D243" s="3"/>
      <c r="E243" s="3"/>
    </row>
    <row r="244" spans="1:5">
      <c r="A244" s="3"/>
      <c r="B244" s="4"/>
      <c r="C244" s="3"/>
      <c r="D244" s="3"/>
      <c r="E244" s="3"/>
    </row>
    <row r="245" spans="1:5">
      <c r="A245" s="3"/>
      <c r="B245" s="4"/>
      <c r="C245" s="3"/>
      <c r="D245" s="3"/>
      <c r="E245" s="3"/>
    </row>
    <row r="246" spans="1:5">
      <c r="A246" s="3"/>
      <c r="B246" s="4"/>
      <c r="C246" s="3"/>
      <c r="D246" s="3"/>
      <c r="E246" s="3"/>
    </row>
    <row r="247" spans="1:5">
      <c r="A247" s="3"/>
      <c r="B247" s="4"/>
      <c r="C247" s="3"/>
      <c r="D247" s="3"/>
      <c r="E247" s="3"/>
    </row>
    <row r="248" spans="1:5">
      <c r="A248" s="3"/>
      <c r="B248" s="4"/>
      <c r="C248" s="3"/>
      <c r="D248" s="3"/>
      <c r="E248" s="3"/>
    </row>
    <row r="249" spans="1:5">
      <c r="A249" s="3"/>
      <c r="B249" s="4"/>
      <c r="C249" s="3"/>
      <c r="D249" s="3"/>
      <c r="E249" s="3"/>
    </row>
    <row r="250" spans="1:5">
      <c r="A250" s="3"/>
      <c r="B250" s="4"/>
      <c r="C250" s="3"/>
      <c r="D250" s="3"/>
      <c r="E250" s="3"/>
    </row>
    <row r="251" spans="1:5">
      <c r="A251" s="3"/>
      <c r="B251" s="4"/>
      <c r="C251" s="3"/>
      <c r="D251" s="3"/>
      <c r="E251" s="3"/>
    </row>
    <row r="252" spans="1:5">
      <c r="A252" s="3"/>
      <c r="B252" s="4"/>
      <c r="C252" s="3"/>
      <c r="D252" s="3"/>
      <c r="E252" s="3"/>
    </row>
    <row r="253" spans="1:5">
      <c r="A253" s="3"/>
      <c r="B253" s="4"/>
      <c r="C253" s="3"/>
      <c r="D253" s="3"/>
      <c r="E253" s="3"/>
    </row>
    <row r="254" spans="1:5">
      <c r="A254" s="3"/>
      <c r="B254" s="4"/>
      <c r="C254" s="3"/>
      <c r="D254" s="3"/>
      <c r="E254" s="3"/>
    </row>
    <row r="255" spans="1:5">
      <c r="A255" s="3"/>
      <c r="B255" s="4"/>
      <c r="C255" s="3"/>
      <c r="D255" s="3"/>
      <c r="E255" s="3"/>
    </row>
    <row r="256" spans="1:5">
      <c r="A256" s="3"/>
      <c r="B256" s="4"/>
      <c r="C256" s="3"/>
      <c r="D256" s="3"/>
      <c r="E256" s="3"/>
    </row>
    <row r="257" spans="1:5">
      <c r="A257" s="3"/>
      <c r="B257" s="4"/>
      <c r="C257" s="3"/>
      <c r="D257" s="3"/>
      <c r="E257" s="3"/>
    </row>
    <row r="258" spans="1:5">
      <c r="A258" s="3"/>
      <c r="B258" s="4"/>
      <c r="C258" s="3"/>
      <c r="D258" s="3"/>
      <c r="E258" s="3"/>
    </row>
    <row r="259" spans="1:5">
      <c r="A259" s="3"/>
      <c r="B259" s="4"/>
      <c r="C259" s="3"/>
      <c r="D259" s="3"/>
      <c r="E259" s="3"/>
    </row>
    <row r="260" spans="1:5">
      <c r="A260" s="3"/>
      <c r="B260" s="4"/>
      <c r="C260" s="3"/>
      <c r="D260" s="3"/>
      <c r="E260" s="3"/>
    </row>
    <row r="261" spans="1:5">
      <c r="A261" s="3"/>
      <c r="B261" s="4"/>
      <c r="C261" s="3"/>
      <c r="D261" s="3"/>
      <c r="E261" s="3"/>
    </row>
    <row r="262" spans="1:5">
      <c r="A262" s="3"/>
      <c r="B262" s="4"/>
      <c r="C262" s="3"/>
      <c r="D262" s="3"/>
      <c r="E262" s="3"/>
    </row>
    <row r="263" spans="1:5">
      <c r="A263" s="3"/>
      <c r="B263" s="4"/>
      <c r="C263" s="3"/>
      <c r="D263" s="3"/>
      <c r="E263" s="3"/>
    </row>
    <row r="264" spans="1:5">
      <c r="A264" s="3"/>
      <c r="B264" s="4"/>
      <c r="C264" s="3"/>
      <c r="D264" s="3"/>
      <c r="E264" s="3"/>
    </row>
    <row r="265" spans="1:5">
      <c r="A265" s="3"/>
      <c r="B265" s="4"/>
      <c r="C265" s="3"/>
      <c r="D265" s="3"/>
      <c r="E265" s="3"/>
    </row>
    <row r="266" spans="1:5">
      <c r="A266" s="3"/>
      <c r="B266" s="4"/>
      <c r="C266" s="3"/>
      <c r="D266" s="3"/>
      <c r="E266" s="3"/>
    </row>
    <row r="267" spans="1:5">
      <c r="A267" s="3"/>
      <c r="B267" s="4"/>
      <c r="C267" s="3"/>
      <c r="D267" s="3"/>
      <c r="E267" s="3"/>
    </row>
    <row r="268" spans="1:5">
      <c r="A268" s="3"/>
      <c r="B268" s="4"/>
      <c r="C268" s="3"/>
      <c r="D268" s="3"/>
      <c r="E268" s="3"/>
    </row>
    <row r="269" spans="1:5">
      <c r="A269" s="3"/>
      <c r="B269" s="4"/>
      <c r="C269" s="3"/>
      <c r="D269" s="3"/>
      <c r="E269" s="3"/>
    </row>
    <row r="270" spans="1:5">
      <c r="A270" s="3"/>
      <c r="B270" s="4"/>
      <c r="C270" s="3"/>
      <c r="D270" s="3"/>
      <c r="E270" s="3"/>
    </row>
    <row r="271" spans="1:5">
      <c r="A271" s="3"/>
      <c r="B271" s="4"/>
      <c r="C271" s="3"/>
      <c r="D271" s="3"/>
      <c r="E271" s="3"/>
    </row>
    <row r="272" spans="1:5">
      <c r="A272" s="3"/>
      <c r="B272" s="4"/>
      <c r="C272" s="3"/>
      <c r="D272" s="3"/>
      <c r="E272" s="3"/>
    </row>
    <row r="273" spans="1:5">
      <c r="A273" s="3"/>
      <c r="B273" s="4"/>
      <c r="C273" s="3"/>
      <c r="D273" s="3"/>
      <c r="E273" s="3"/>
    </row>
    <row r="274" spans="1:5">
      <c r="A274" s="3"/>
      <c r="B274" s="4"/>
      <c r="C274" s="3"/>
      <c r="D274" s="3"/>
      <c r="E274" s="3"/>
    </row>
    <row r="275" spans="1:5">
      <c r="A275" s="3"/>
      <c r="B275" s="4"/>
      <c r="C275" s="3"/>
      <c r="D275" s="3"/>
      <c r="E275" s="3"/>
    </row>
    <row r="276" spans="1:5">
      <c r="A276" s="3"/>
      <c r="B276" s="4"/>
      <c r="C276" s="3"/>
      <c r="D276" s="3"/>
      <c r="E276" s="3"/>
    </row>
    <row r="277" spans="1:5">
      <c r="A277" s="3"/>
      <c r="B277" s="4"/>
      <c r="C277" s="3"/>
      <c r="D277" s="3"/>
      <c r="E277" s="3"/>
    </row>
    <row r="278" spans="1:5">
      <c r="A278" s="3"/>
      <c r="B278" s="4"/>
      <c r="C278" s="3"/>
      <c r="D278" s="3"/>
      <c r="E278" s="3"/>
    </row>
    <row r="279" spans="1:5">
      <c r="A279" s="3"/>
      <c r="B279" s="4"/>
      <c r="C279" s="3"/>
      <c r="D279" s="3"/>
      <c r="E279" s="3"/>
    </row>
    <row r="280" spans="1:5">
      <c r="A280" s="3"/>
      <c r="B280" s="4"/>
      <c r="C280" s="3"/>
      <c r="D280" s="3"/>
      <c r="E280" s="3"/>
    </row>
    <row r="281" spans="1:5">
      <c r="A281" s="3"/>
      <c r="B281" s="4"/>
      <c r="C281" s="3"/>
      <c r="D281" s="3"/>
      <c r="E281" s="3"/>
    </row>
    <row r="282" spans="1:5">
      <c r="A282" s="3"/>
      <c r="B282" s="4"/>
      <c r="C282" s="3"/>
      <c r="D282" s="3"/>
      <c r="E282" s="3"/>
    </row>
    <row r="283" spans="1:5">
      <c r="A283" s="3"/>
      <c r="B283" s="4"/>
      <c r="C283" s="3"/>
      <c r="D283" s="3"/>
      <c r="E283" s="3"/>
    </row>
    <row r="284" spans="1:5">
      <c r="A284" s="3"/>
      <c r="B284" s="4"/>
      <c r="C284" s="3"/>
      <c r="D284" s="3"/>
      <c r="E284" s="3"/>
    </row>
    <row r="285" spans="1:5">
      <c r="A285" s="3"/>
      <c r="B285" s="4"/>
      <c r="C285" s="3"/>
      <c r="D285" s="3"/>
      <c r="E285" s="3"/>
    </row>
    <row r="286" spans="1:5">
      <c r="A286" s="3"/>
      <c r="B286" s="4"/>
      <c r="C286" s="3"/>
      <c r="D286" s="3"/>
      <c r="E286" s="3"/>
    </row>
    <row r="287" spans="1:5">
      <c r="A287" s="3"/>
      <c r="B287" s="4"/>
      <c r="C287" s="3"/>
      <c r="D287" s="3"/>
      <c r="E287" s="3"/>
    </row>
    <row r="288" spans="1:5">
      <c r="A288" s="3"/>
      <c r="B288" s="4"/>
      <c r="C288" s="3"/>
      <c r="D288" s="3"/>
      <c r="E288" s="3"/>
    </row>
    <row r="289" spans="1:5">
      <c r="A289" s="3"/>
      <c r="B289" s="4"/>
      <c r="C289" s="3"/>
      <c r="D289" s="3"/>
      <c r="E289" s="3"/>
    </row>
    <row r="290" spans="1:5">
      <c r="A290" s="3"/>
      <c r="B290" s="4"/>
      <c r="C290" s="3"/>
      <c r="D290" s="3"/>
      <c r="E290" s="3"/>
    </row>
    <row r="291" spans="1:5">
      <c r="A291" s="3"/>
      <c r="B291" s="4"/>
      <c r="C291" s="3"/>
      <c r="D291" s="3"/>
      <c r="E291" s="3"/>
    </row>
    <row r="292" spans="1:5">
      <c r="A292" s="3"/>
      <c r="B292" s="4"/>
      <c r="C292" s="3"/>
      <c r="D292" s="3"/>
      <c r="E292" s="3"/>
    </row>
    <row r="293" spans="1:5">
      <c r="A293" s="3"/>
      <c r="B293" s="4"/>
      <c r="C293" s="3"/>
      <c r="D293" s="3"/>
      <c r="E293" s="3"/>
    </row>
    <row r="294" spans="1:5">
      <c r="A294" s="3"/>
      <c r="B294" s="4"/>
      <c r="C294" s="3"/>
      <c r="D294" s="3"/>
      <c r="E294" s="3"/>
    </row>
    <row r="295" spans="1:5">
      <c r="A295" s="3"/>
      <c r="B295" s="4"/>
      <c r="C295" s="3"/>
      <c r="D295" s="3"/>
      <c r="E295" s="3"/>
    </row>
    <row r="296" spans="1:5">
      <c r="A296" s="3"/>
      <c r="B296" s="4"/>
      <c r="C296" s="3"/>
      <c r="D296" s="3"/>
      <c r="E296" s="3"/>
    </row>
    <row r="297" spans="1:5">
      <c r="A297" s="3"/>
      <c r="B297" s="4"/>
      <c r="C297" s="3"/>
      <c r="D297" s="3"/>
      <c r="E297" s="3"/>
    </row>
    <row r="298" spans="1:5">
      <c r="A298" s="3"/>
      <c r="B298" s="4"/>
      <c r="C298" s="3"/>
      <c r="D298" s="3"/>
      <c r="E298" s="3"/>
    </row>
    <row r="299" spans="1:5">
      <c r="A299" s="3"/>
      <c r="B299" s="4"/>
      <c r="C299" s="3"/>
      <c r="D299" s="3"/>
      <c r="E299" s="3"/>
    </row>
    <row r="300" spans="1:5">
      <c r="A300" s="3"/>
      <c r="B300" s="4"/>
      <c r="C300" s="3"/>
      <c r="D300" s="3"/>
      <c r="E300" s="3"/>
    </row>
    <row r="301" spans="1:5">
      <c r="A301" s="3"/>
      <c r="B301" s="4"/>
      <c r="C301" s="3"/>
      <c r="D301" s="3"/>
      <c r="E301" s="3"/>
    </row>
    <row r="302" spans="1:5">
      <c r="A302" s="3"/>
      <c r="B302" s="4"/>
      <c r="C302" s="3"/>
      <c r="D302" s="3"/>
      <c r="E302" s="3"/>
    </row>
    <row r="303" spans="1:5">
      <c r="A303" s="3"/>
      <c r="B303" s="4"/>
      <c r="C303" s="3"/>
      <c r="D303" s="3"/>
      <c r="E303" s="3"/>
    </row>
    <row r="304" spans="1:5">
      <c r="A304" s="3"/>
      <c r="B304" s="4"/>
      <c r="C304" s="3"/>
      <c r="D304" s="3"/>
      <c r="E304" s="3"/>
    </row>
    <row r="305" spans="1:5">
      <c r="A305" s="3"/>
      <c r="B305" s="4"/>
      <c r="C305" s="3"/>
      <c r="D305" s="3"/>
      <c r="E305" s="3"/>
    </row>
    <row r="306" spans="1:5">
      <c r="A306" s="3"/>
      <c r="B306" s="4"/>
      <c r="C306" s="3"/>
      <c r="D306" s="3"/>
      <c r="E306" s="3"/>
    </row>
    <row r="307" spans="1:5">
      <c r="A307" s="3"/>
      <c r="B307" s="4"/>
      <c r="C307" s="3"/>
      <c r="D307" s="3"/>
      <c r="E307" s="3"/>
    </row>
    <row r="308" spans="1:5">
      <c r="A308" s="3"/>
      <c r="B308" s="4"/>
      <c r="C308" s="3"/>
      <c r="D308" s="3"/>
      <c r="E308" s="3"/>
    </row>
    <row r="309" spans="1:5">
      <c r="A309" s="3"/>
      <c r="B309" s="4"/>
      <c r="C309" s="3"/>
      <c r="D309" s="3"/>
      <c r="E309" s="3"/>
    </row>
    <row r="310" spans="1:5">
      <c r="A310" s="3"/>
      <c r="B310" s="4"/>
      <c r="C310" s="3"/>
      <c r="D310" s="3"/>
      <c r="E310" s="3"/>
    </row>
    <row r="311" spans="1:5">
      <c r="A311" s="3"/>
      <c r="B311" s="4"/>
      <c r="C311" s="3"/>
      <c r="D311" s="3"/>
      <c r="E311" s="3"/>
    </row>
    <row r="312" spans="1:5">
      <c r="A312" s="3"/>
      <c r="B312" s="4"/>
      <c r="C312" s="3"/>
      <c r="D312" s="3"/>
      <c r="E312" s="3"/>
    </row>
    <row r="313" spans="1:5">
      <c r="A313" s="3"/>
      <c r="B313" s="4"/>
      <c r="C313" s="3"/>
      <c r="D313" s="3"/>
      <c r="E313" s="3"/>
    </row>
    <row r="314" spans="1:5">
      <c r="A314" s="3"/>
      <c r="B314" s="4"/>
      <c r="C314" s="3"/>
      <c r="D314" s="3"/>
      <c r="E314" s="3"/>
    </row>
    <row r="315" spans="1:5">
      <c r="A315" s="3"/>
      <c r="B315" s="4"/>
      <c r="C315" s="3"/>
      <c r="D315" s="3"/>
      <c r="E315" s="3"/>
    </row>
    <row r="316" spans="1:5">
      <c r="A316" s="3"/>
      <c r="B316" s="4"/>
      <c r="C316" s="3"/>
      <c r="D316" s="3"/>
      <c r="E316" s="3"/>
    </row>
    <row r="317" spans="1:5">
      <c r="A317" s="3"/>
      <c r="B317" s="4"/>
      <c r="C317" s="3"/>
      <c r="D317" s="3"/>
      <c r="E317" s="3"/>
    </row>
    <row r="318" spans="1:5">
      <c r="A318" s="3"/>
      <c r="B318" s="4"/>
      <c r="C318" s="3"/>
      <c r="D318" s="3"/>
      <c r="E318" s="3"/>
    </row>
    <row r="319" spans="1:5">
      <c r="A319" s="3"/>
      <c r="B319" s="4"/>
      <c r="C319" s="3"/>
      <c r="D319" s="3"/>
      <c r="E319" s="3"/>
    </row>
    <row r="320" spans="1:5">
      <c r="A320" s="3"/>
      <c r="B320" s="4"/>
      <c r="C320" s="3"/>
      <c r="D320" s="3"/>
      <c r="E320" s="3"/>
    </row>
    <row r="321" spans="1:5">
      <c r="A321" s="3"/>
      <c r="B321" s="4"/>
      <c r="C321" s="3"/>
      <c r="D321" s="3"/>
      <c r="E321" s="3"/>
    </row>
    <row r="322" spans="1:5">
      <c r="A322" s="3"/>
      <c r="B322" s="4"/>
      <c r="C322" s="3"/>
      <c r="D322" s="3"/>
      <c r="E322" s="3"/>
    </row>
    <row r="323" spans="1:5">
      <c r="A323" s="3"/>
      <c r="B323" s="4"/>
      <c r="C323" s="3"/>
      <c r="D323" s="3"/>
      <c r="E323" s="3"/>
    </row>
    <row r="324" spans="1:5">
      <c r="A324" s="3"/>
      <c r="B324" s="4"/>
      <c r="C324" s="3"/>
      <c r="D324" s="3"/>
      <c r="E324" s="3"/>
    </row>
    <row r="325" spans="1:5">
      <c r="A325" s="3"/>
      <c r="B325" s="4"/>
      <c r="C325" s="3"/>
      <c r="D325" s="3"/>
      <c r="E325" s="3"/>
    </row>
    <row r="326" spans="1:5">
      <c r="A326" s="3"/>
      <c r="B326" s="4"/>
      <c r="C326" s="3"/>
      <c r="D326" s="3"/>
      <c r="E326" s="3"/>
    </row>
    <row r="327" spans="1:5">
      <c r="A327" s="3"/>
      <c r="B327" s="4"/>
      <c r="C327" s="3"/>
      <c r="D327" s="3"/>
      <c r="E327" s="3"/>
    </row>
    <row r="328" spans="1:5">
      <c r="A328" s="3"/>
      <c r="B328" s="4"/>
      <c r="C328" s="3"/>
      <c r="D328" s="3"/>
      <c r="E328" s="3"/>
    </row>
    <row r="329" spans="1:5">
      <c r="A329" s="3"/>
      <c r="B329" s="4"/>
      <c r="C329" s="3"/>
      <c r="D329" s="3"/>
      <c r="E329" s="3"/>
    </row>
    <row r="330" spans="1:5">
      <c r="A330" s="3"/>
      <c r="B330" s="4"/>
      <c r="C330" s="3"/>
      <c r="D330" s="3"/>
      <c r="E330" s="3"/>
    </row>
    <row r="331" spans="1:5">
      <c r="A331" s="3"/>
      <c r="B331" s="4"/>
      <c r="C331" s="3"/>
      <c r="D331" s="3"/>
      <c r="E331" s="3"/>
    </row>
    <row r="332" spans="1:5">
      <c r="A332" s="3"/>
      <c r="B332" s="4"/>
      <c r="C332" s="3"/>
      <c r="D332" s="3"/>
      <c r="E332" s="3"/>
    </row>
    <row r="333" spans="1:5">
      <c r="A333" s="3"/>
      <c r="B333" s="4"/>
      <c r="C333" s="3"/>
      <c r="D333" s="3"/>
      <c r="E333" s="3"/>
    </row>
    <row r="334" spans="1:5">
      <c r="A334" s="3"/>
      <c r="B334" s="4"/>
      <c r="C334" s="3"/>
      <c r="D334" s="3"/>
      <c r="E334" s="3"/>
    </row>
    <row r="335" spans="1:5">
      <c r="A335" s="3"/>
      <c r="B335" s="4"/>
      <c r="C335" s="3"/>
      <c r="D335" s="3"/>
      <c r="E335" s="3"/>
    </row>
    <row r="336" spans="1:5">
      <c r="A336" s="3"/>
      <c r="B336" s="4"/>
      <c r="C336" s="3"/>
      <c r="D336" s="3"/>
      <c r="E336" s="3"/>
    </row>
    <row r="337" spans="1:5">
      <c r="A337" s="3"/>
      <c r="B337" s="4"/>
      <c r="C337" s="3"/>
      <c r="D337" s="3"/>
      <c r="E337" s="3"/>
    </row>
    <row r="338" spans="1:5">
      <c r="A338" s="3"/>
      <c r="B338" s="4"/>
      <c r="C338" s="3"/>
      <c r="D338" s="3"/>
      <c r="E338" s="3"/>
    </row>
    <row r="339" spans="1:5">
      <c r="A339" s="3"/>
      <c r="B339" s="4"/>
      <c r="C339" s="3"/>
      <c r="D339" s="3"/>
      <c r="E339" s="3"/>
    </row>
    <row r="340" spans="1:5">
      <c r="A340" s="3"/>
      <c r="B340" s="4"/>
      <c r="C340" s="3"/>
      <c r="D340" s="3"/>
      <c r="E340" s="3"/>
    </row>
    <row r="341" spans="1:5">
      <c r="A341" s="3"/>
      <c r="B341" s="4"/>
      <c r="C341" s="3"/>
      <c r="D341" s="3"/>
      <c r="E341" s="3"/>
    </row>
    <row r="342" spans="1:5">
      <c r="A342" s="3"/>
      <c r="B342" s="4"/>
      <c r="C342" s="3"/>
      <c r="D342" s="3"/>
      <c r="E342" s="3"/>
    </row>
    <row r="343" spans="1:5">
      <c r="A343" s="3"/>
      <c r="B343" s="4"/>
      <c r="C343" s="3"/>
      <c r="D343" s="3"/>
      <c r="E343" s="3"/>
    </row>
    <row r="344" spans="1:5">
      <c r="A344" s="3"/>
      <c r="B344" s="4"/>
      <c r="C344" s="3"/>
      <c r="D344" s="3"/>
      <c r="E344" s="3"/>
    </row>
    <row r="345" spans="1:5">
      <c r="A345" s="3"/>
      <c r="B345" s="4"/>
      <c r="C345" s="3"/>
      <c r="D345" s="3"/>
      <c r="E345" s="3"/>
    </row>
    <row r="346" spans="1:5">
      <c r="A346" s="3"/>
      <c r="B346" s="4"/>
      <c r="C346" s="3"/>
      <c r="D346" s="3"/>
      <c r="E346" s="3"/>
    </row>
    <row r="347" spans="1:5">
      <c r="A347" s="3"/>
      <c r="B347" s="4"/>
      <c r="C347" s="3"/>
      <c r="D347" s="3"/>
      <c r="E347" s="3"/>
    </row>
    <row r="348" spans="1:5">
      <c r="A348" s="3"/>
      <c r="B348" s="4"/>
      <c r="C348" s="3"/>
      <c r="D348" s="3"/>
      <c r="E348" s="3"/>
    </row>
    <row r="349" spans="1:5">
      <c r="A349" s="3"/>
      <c r="B349" s="4"/>
      <c r="C349" s="3"/>
      <c r="D349" s="3"/>
      <c r="E349" s="3"/>
    </row>
    <row r="350" spans="1:5">
      <c r="A350" s="3"/>
      <c r="B350" s="4"/>
      <c r="C350" s="3"/>
      <c r="D350" s="3"/>
      <c r="E350" s="3"/>
    </row>
    <row r="351" spans="1:5">
      <c r="A351" s="3"/>
      <c r="B351" s="4"/>
      <c r="C351" s="3"/>
      <c r="D351" s="3"/>
      <c r="E351" s="3"/>
    </row>
    <row r="352" spans="1:5">
      <c r="A352" s="3"/>
      <c r="B352" s="4"/>
      <c r="C352" s="3"/>
      <c r="D352" s="3"/>
      <c r="E352" s="3"/>
    </row>
    <row r="353" spans="1:5">
      <c r="A353" s="3"/>
      <c r="B353" s="4"/>
      <c r="C353" s="3"/>
      <c r="D353" s="3"/>
      <c r="E353" s="3"/>
    </row>
    <row r="354" spans="1:5">
      <c r="A354" s="3"/>
      <c r="B354" s="4"/>
      <c r="C354" s="3"/>
      <c r="D354" s="3"/>
      <c r="E354" s="3"/>
    </row>
    <row r="355" spans="1:5">
      <c r="A355" s="3"/>
      <c r="B355" s="4"/>
      <c r="C355" s="3"/>
      <c r="D355" s="3"/>
      <c r="E355" s="3"/>
    </row>
    <row r="356" spans="1:5">
      <c r="A356" s="3"/>
      <c r="B356" s="4"/>
      <c r="C356" s="3"/>
      <c r="D356" s="3"/>
      <c r="E356" s="3"/>
    </row>
    <row r="357" spans="1:5">
      <c r="A357" s="3"/>
      <c r="B357" s="4"/>
      <c r="C357" s="3"/>
      <c r="D357" s="3"/>
      <c r="E357" s="3"/>
    </row>
    <row r="358" spans="1:5">
      <c r="A358" s="3"/>
      <c r="B358" s="4"/>
      <c r="C358" s="3"/>
      <c r="D358" s="3"/>
      <c r="E358" s="3"/>
    </row>
    <row r="359" spans="1:5">
      <c r="A359" s="3"/>
      <c r="B359" s="4"/>
      <c r="C359" s="3"/>
      <c r="D359" s="3"/>
      <c r="E359" s="3"/>
    </row>
    <row r="360" spans="1:5">
      <c r="A360" s="3"/>
      <c r="B360" s="4"/>
      <c r="C360" s="3"/>
      <c r="D360" s="3"/>
      <c r="E360" s="3"/>
    </row>
    <row r="361" spans="1:5">
      <c r="A361" s="3"/>
      <c r="B361" s="4"/>
      <c r="C361" s="3"/>
      <c r="D361" s="3"/>
      <c r="E361" s="3"/>
    </row>
    <row r="362" spans="1:5">
      <c r="A362" s="3"/>
      <c r="B362" s="4"/>
      <c r="C362" s="3"/>
      <c r="D362" s="3"/>
      <c r="E362" s="3"/>
    </row>
    <row r="363" spans="1:5">
      <c r="A363" s="3"/>
      <c r="B363" s="4"/>
      <c r="C363" s="3"/>
      <c r="D363" s="3"/>
      <c r="E363" s="3"/>
    </row>
    <row r="364" spans="1:5">
      <c r="A364" s="3"/>
      <c r="B364" s="4"/>
      <c r="C364" s="3"/>
      <c r="D364" s="3"/>
      <c r="E364" s="3"/>
    </row>
    <row r="365" spans="1:5">
      <c r="A365" s="3"/>
      <c r="B365" s="4"/>
      <c r="C365" s="3"/>
      <c r="D365" s="3"/>
      <c r="E365" s="3"/>
    </row>
    <row r="366" spans="1:5">
      <c r="A366" s="3"/>
      <c r="B366" s="4"/>
      <c r="C366" s="3"/>
      <c r="D366" s="3"/>
      <c r="E366" s="3"/>
    </row>
    <row r="367" spans="1:5">
      <c r="A367" s="3"/>
      <c r="B367" s="4"/>
      <c r="C367" s="3"/>
      <c r="D367" s="3"/>
      <c r="E367" s="3"/>
    </row>
    <row r="368" spans="1:5">
      <c r="A368" s="3"/>
      <c r="B368" s="4"/>
      <c r="C368" s="3"/>
      <c r="D368" s="3"/>
      <c r="E368" s="3"/>
    </row>
    <row r="369" spans="1:5">
      <c r="A369" s="3"/>
      <c r="B369" s="4"/>
      <c r="C369" s="3"/>
      <c r="D369" s="3"/>
      <c r="E369" s="3"/>
    </row>
    <row r="370" spans="1:5">
      <c r="A370" s="3"/>
      <c r="B370" s="4"/>
      <c r="C370" s="3"/>
      <c r="D370" s="3"/>
      <c r="E370" s="3"/>
    </row>
    <row r="371" spans="1:5">
      <c r="A371" s="3"/>
      <c r="B371" s="4"/>
      <c r="C371" s="3"/>
      <c r="D371" s="3"/>
      <c r="E371" s="3"/>
    </row>
    <row r="372" spans="1:5">
      <c r="A372" s="3"/>
      <c r="B372" s="4"/>
      <c r="C372" s="3"/>
      <c r="D372" s="3"/>
      <c r="E372" s="3"/>
    </row>
    <row r="373" spans="1:5">
      <c r="A373" s="3"/>
      <c r="B373" s="4"/>
      <c r="C373" s="3"/>
      <c r="D373" s="3"/>
      <c r="E373" s="3"/>
    </row>
    <row r="374" spans="1:5">
      <c r="A374" s="3"/>
      <c r="B374" s="4"/>
      <c r="C374" s="3"/>
      <c r="D374" s="3"/>
      <c r="E374" s="3"/>
    </row>
    <row r="375" spans="1:5">
      <c r="A375" s="3"/>
      <c r="B375" s="4"/>
      <c r="C375" s="3"/>
      <c r="D375" s="3"/>
      <c r="E375" s="3"/>
    </row>
    <row r="376" spans="1:5">
      <c r="A376" s="3"/>
      <c r="B376" s="4"/>
      <c r="C376" s="3"/>
      <c r="D376" s="3"/>
      <c r="E376" s="3"/>
    </row>
    <row r="377" spans="1:5">
      <c r="A377" s="3"/>
      <c r="B377" s="4"/>
      <c r="C377" s="3"/>
      <c r="D377" s="3"/>
      <c r="E377" s="3"/>
    </row>
    <row r="378" spans="1:5">
      <c r="A378" s="3"/>
      <c r="B378" s="4"/>
      <c r="C378" s="3"/>
      <c r="D378" s="3"/>
      <c r="E378" s="3"/>
    </row>
    <row r="379" spans="1:5">
      <c r="A379" s="3"/>
      <c r="B379" s="4"/>
      <c r="C379" s="3"/>
      <c r="D379" s="3"/>
      <c r="E379" s="3"/>
    </row>
    <row r="380" spans="1:5">
      <c r="A380" s="3"/>
      <c r="B380" s="4"/>
      <c r="C380" s="3"/>
      <c r="D380" s="3"/>
      <c r="E380" s="3"/>
    </row>
    <row r="381" spans="1:5">
      <c r="A381" s="3"/>
      <c r="B381" s="4"/>
      <c r="C381" s="3"/>
      <c r="D381" s="3"/>
      <c r="E381" s="3"/>
    </row>
    <row r="382" spans="1:5">
      <c r="A382" s="3"/>
      <c r="B382" s="4"/>
      <c r="C382" s="3"/>
      <c r="D382" s="3"/>
      <c r="E382" s="3"/>
    </row>
    <row r="383" spans="1:5">
      <c r="A383" s="3"/>
      <c r="B383" s="4"/>
      <c r="C383" s="3"/>
      <c r="D383" s="3"/>
      <c r="E383" s="3"/>
    </row>
    <row r="384" spans="1:5">
      <c r="A384" s="3"/>
      <c r="B384" s="4"/>
      <c r="C384" s="3"/>
      <c r="D384" s="3"/>
      <c r="E384" s="3"/>
    </row>
    <row r="385" spans="1:5">
      <c r="A385" s="3"/>
      <c r="B385" s="4"/>
      <c r="C385" s="3"/>
      <c r="D385" s="3"/>
      <c r="E385" s="3"/>
    </row>
    <row r="386" spans="1:5">
      <c r="A386" s="3"/>
      <c r="B386" s="4"/>
      <c r="C386" s="3"/>
      <c r="D386" s="3"/>
      <c r="E386" s="3"/>
    </row>
    <row r="387" spans="1:5">
      <c r="A387" s="3"/>
      <c r="B387" s="4"/>
      <c r="C387" s="3"/>
      <c r="D387" s="3"/>
      <c r="E387" s="3"/>
    </row>
    <row r="388" spans="1:5">
      <c r="A388" s="3"/>
      <c r="B388" s="4"/>
      <c r="C388" s="3"/>
      <c r="D388" s="3"/>
      <c r="E388" s="3"/>
    </row>
    <row r="389" spans="1:5">
      <c r="A389" s="3"/>
      <c r="B389" s="4"/>
      <c r="C389" s="3"/>
      <c r="D389" s="3"/>
      <c r="E389" s="3"/>
    </row>
    <row r="390" spans="1:5">
      <c r="A390" s="3"/>
      <c r="B390" s="4"/>
      <c r="C390" s="3"/>
      <c r="D390" s="3"/>
      <c r="E390" s="3"/>
    </row>
    <row r="391" spans="1:5">
      <c r="A391" s="3"/>
      <c r="B391" s="4"/>
      <c r="C391" s="3"/>
      <c r="D391" s="3"/>
      <c r="E391" s="3"/>
    </row>
    <row r="392" spans="1:5">
      <c r="A392" s="3"/>
      <c r="B392" s="4"/>
      <c r="C392" s="3"/>
      <c r="D392" s="3"/>
      <c r="E392" s="3"/>
    </row>
    <row r="393" spans="1:5">
      <c r="A393" s="3"/>
      <c r="B393" s="4"/>
      <c r="C393" s="3"/>
      <c r="D393" s="3"/>
      <c r="E393" s="3"/>
    </row>
    <row r="394" spans="1:5">
      <c r="A394" s="3"/>
      <c r="B394" s="4"/>
      <c r="C394" s="3"/>
      <c r="D394" s="3"/>
      <c r="E394" s="3"/>
    </row>
    <row r="395" spans="1:5">
      <c r="A395" s="3"/>
      <c r="B395" s="4"/>
      <c r="C395" s="3"/>
      <c r="D395" s="3"/>
      <c r="E395" s="3"/>
    </row>
    <row r="396" spans="1:5">
      <c r="A396" s="3"/>
      <c r="B396" s="4"/>
      <c r="C396" s="3"/>
      <c r="D396" s="3"/>
      <c r="E396" s="3"/>
    </row>
    <row r="397" spans="1:5">
      <c r="A397" s="3"/>
      <c r="B397" s="4"/>
      <c r="C397" s="3"/>
      <c r="D397" s="3"/>
      <c r="E397" s="3"/>
    </row>
    <row r="398" spans="1:5">
      <c r="A398" s="3"/>
      <c r="B398" s="4"/>
      <c r="C398" s="3"/>
      <c r="D398" s="3"/>
      <c r="E398" s="3"/>
    </row>
    <row r="399" spans="1:5">
      <c r="A399" s="3"/>
      <c r="B399" s="4"/>
      <c r="C399" s="3"/>
      <c r="D399" s="3"/>
      <c r="E399" s="3"/>
    </row>
    <row r="400" spans="1:5">
      <c r="A400" s="3"/>
      <c r="B400" s="4"/>
      <c r="C400" s="3"/>
      <c r="D400" s="3"/>
      <c r="E400" s="3"/>
    </row>
    <row r="401" spans="1:5">
      <c r="A401" s="3"/>
      <c r="B401" s="4"/>
      <c r="C401" s="3"/>
      <c r="D401" s="3"/>
      <c r="E401" s="3"/>
    </row>
    <row r="402" spans="1:5">
      <c r="A402" s="3"/>
      <c r="B402" s="4"/>
      <c r="C402" s="3"/>
      <c r="D402" s="3"/>
      <c r="E402" s="3"/>
    </row>
    <row r="403" spans="1:5">
      <c r="A403" s="3"/>
      <c r="B403" s="4"/>
      <c r="C403" s="3"/>
      <c r="D403" s="3"/>
      <c r="E403" s="3"/>
    </row>
    <row r="404" spans="1:5">
      <c r="A404" s="3"/>
      <c r="B404" s="4"/>
      <c r="C404" s="3"/>
      <c r="D404" s="3"/>
      <c r="E404" s="3"/>
    </row>
    <row r="405" spans="1:5">
      <c r="A405" s="3"/>
      <c r="B405" s="4"/>
      <c r="C405" s="3"/>
      <c r="D405" s="3"/>
      <c r="E405" s="3"/>
    </row>
    <row r="406" spans="1:5">
      <c r="A406" s="3"/>
      <c r="B406" s="4"/>
      <c r="C406" s="3"/>
      <c r="D406" s="3"/>
      <c r="E406" s="3"/>
    </row>
    <row r="407" spans="1:5">
      <c r="A407" s="3"/>
      <c r="B407" s="4"/>
      <c r="C407" s="3"/>
      <c r="D407" s="3"/>
      <c r="E407" s="3"/>
    </row>
    <row r="408" spans="1:5">
      <c r="A408" s="3"/>
      <c r="B408" s="4"/>
      <c r="C408" s="3"/>
      <c r="D408" s="3"/>
      <c r="E408" s="3"/>
    </row>
    <row r="409" spans="1:5">
      <c r="A409" s="3"/>
      <c r="B409" s="4"/>
      <c r="C409" s="3"/>
      <c r="D409" s="3"/>
      <c r="E409" s="3"/>
    </row>
    <row r="410" spans="1:5">
      <c r="A410" s="3"/>
      <c r="B410" s="4"/>
      <c r="C410" s="3"/>
      <c r="D410" s="3"/>
      <c r="E410" s="3"/>
    </row>
    <row r="411" spans="1:5">
      <c r="A411" s="3"/>
      <c r="B411" s="4"/>
      <c r="C411" s="3"/>
      <c r="D411" s="3"/>
      <c r="E411" s="3"/>
    </row>
    <row r="412" spans="1:5">
      <c r="A412" s="3"/>
      <c r="B412" s="4"/>
      <c r="C412" s="3"/>
      <c r="D412" s="3"/>
      <c r="E412" s="3"/>
    </row>
    <row r="413" spans="1:5">
      <c r="A413" s="3"/>
      <c r="B413" s="4"/>
      <c r="C413" s="3"/>
      <c r="D413" s="3"/>
      <c r="E413" s="3"/>
    </row>
    <row r="414" spans="1:5">
      <c r="A414" s="3"/>
      <c r="B414" s="4"/>
      <c r="C414" s="3"/>
      <c r="D414" s="3"/>
      <c r="E414" s="3"/>
    </row>
    <row r="415" spans="1:5">
      <c r="A415" s="3"/>
      <c r="B415" s="4"/>
      <c r="C415" s="3"/>
      <c r="D415" s="3"/>
      <c r="E415" s="3"/>
    </row>
    <row r="416" spans="1:5">
      <c r="A416" s="3"/>
      <c r="B416" s="4"/>
      <c r="C416" s="3"/>
      <c r="D416" s="3"/>
      <c r="E416" s="3"/>
    </row>
    <row r="417" spans="1:5">
      <c r="A417" s="3"/>
      <c r="B417" s="4"/>
      <c r="C417" s="3"/>
      <c r="D417" s="3"/>
      <c r="E417" s="3"/>
    </row>
    <row r="418" spans="1:5">
      <c r="A418" s="3"/>
      <c r="B418" s="4"/>
      <c r="C418" s="3"/>
      <c r="D418" s="3"/>
      <c r="E418" s="3"/>
    </row>
    <row r="419" spans="1:5">
      <c r="A419" s="3"/>
      <c r="B419" s="4"/>
      <c r="C419" s="3"/>
      <c r="D419" s="3"/>
      <c r="E419" s="3"/>
    </row>
    <row r="420" spans="1:5">
      <c r="A420" s="3"/>
      <c r="B420" s="4"/>
      <c r="C420" s="3"/>
      <c r="D420" s="3"/>
      <c r="E420" s="3"/>
    </row>
    <row r="421" spans="1:5">
      <c r="A421" s="3"/>
      <c r="B421" s="4"/>
      <c r="C421" s="3"/>
      <c r="D421" s="3"/>
      <c r="E421" s="3"/>
    </row>
    <row r="422" spans="1:5">
      <c r="A422" s="3"/>
      <c r="B422" s="4"/>
      <c r="C422" s="3"/>
      <c r="D422" s="3"/>
      <c r="E422" s="3"/>
    </row>
    <row r="423" spans="1:5">
      <c r="A423" s="3"/>
      <c r="B423" s="4"/>
      <c r="C423" s="3"/>
      <c r="D423" s="3"/>
      <c r="E423" s="3"/>
    </row>
    <row r="424" spans="1:5">
      <c r="A424" s="3"/>
      <c r="B424" s="4"/>
      <c r="C424" s="3"/>
      <c r="D424" s="3"/>
      <c r="E424" s="3"/>
    </row>
    <row r="425" spans="1:5">
      <c r="A425" s="3"/>
      <c r="B425" s="4"/>
      <c r="C425" s="3"/>
      <c r="D425" s="3"/>
      <c r="E425" s="3"/>
    </row>
    <row r="426" spans="1:5">
      <c r="A426" s="3"/>
      <c r="B426" s="4"/>
      <c r="C426" s="3"/>
      <c r="D426" s="3"/>
      <c r="E426" s="3"/>
    </row>
    <row r="427" spans="1:5">
      <c r="A427" s="3"/>
      <c r="B427" s="4"/>
      <c r="C427" s="3"/>
      <c r="D427" s="3"/>
      <c r="E427" s="3"/>
    </row>
    <row r="428" spans="1:5">
      <c r="A428" s="3"/>
      <c r="B428" s="4"/>
      <c r="C428" s="3"/>
      <c r="D428" s="3"/>
      <c r="E428" s="3"/>
    </row>
    <row r="429" spans="1:5">
      <c r="A429" s="3"/>
      <c r="B429" s="4"/>
      <c r="C429" s="3"/>
      <c r="D429" s="3"/>
      <c r="E429" s="3"/>
    </row>
    <row r="430" spans="1:5">
      <c r="A430" s="3"/>
      <c r="B430" s="4"/>
      <c r="C430" s="3"/>
      <c r="D430" s="3"/>
      <c r="E430" s="3"/>
    </row>
    <row r="431" spans="1:5">
      <c r="A431" s="3"/>
      <c r="B431" s="4"/>
      <c r="C431" s="3"/>
      <c r="D431" s="3"/>
      <c r="E431" s="3"/>
    </row>
    <row r="432" spans="1:5">
      <c r="A432" s="3"/>
      <c r="B432" s="4"/>
      <c r="C432" s="3"/>
      <c r="D432" s="3"/>
      <c r="E432" s="3"/>
    </row>
    <row r="433" spans="1:5">
      <c r="A433" s="3"/>
      <c r="B433" s="4"/>
      <c r="C433" s="3"/>
      <c r="D433" s="3"/>
      <c r="E433" s="3"/>
    </row>
    <row r="434" spans="1:5">
      <c r="A434" s="3"/>
      <c r="B434" s="4"/>
      <c r="C434" s="3"/>
      <c r="D434" s="3"/>
      <c r="E434" s="3"/>
    </row>
    <row r="435" spans="1:5">
      <c r="A435" s="3"/>
      <c r="B435" s="4"/>
      <c r="C435" s="3"/>
      <c r="D435" s="3"/>
      <c r="E435" s="3"/>
    </row>
    <row r="436" spans="1:5">
      <c r="A436" s="3"/>
      <c r="B436" s="4"/>
      <c r="C436" s="3"/>
      <c r="D436" s="3"/>
      <c r="E436" s="3"/>
    </row>
    <row r="437" spans="1:5">
      <c r="A437" s="3"/>
      <c r="B437" s="4"/>
      <c r="C437" s="3"/>
      <c r="D437" s="3"/>
      <c r="E437" s="3"/>
    </row>
    <row r="438" spans="1:5">
      <c r="A438" s="3"/>
      <c r="B438" s="4"/>
      <c r="C438" s="3"/>
      <c r="D438" s="3"/>
      <c r="E438" s="3"/>
    </row>
    <row r="439" spans="1:5">
      <c r="A439" s="3"/>
      <c r="B439" s="4"/>
      <c r="C439" s="3"/>
      <c r="D439" s="3"/>
      <c r="E439" s="3"/>
    </row>
    <row r="440" spans="1:5">
      <c r="A440" s="3"/>
      <c r="B440" s="4"/>
      <c r="C440" s="3"/>
      <c r="D440" s="3"/>
      <c r="E440" s="3"/>
    </row>
    <row r="441" spans="1:5">
      <c r="A441" s="3"/>
      <c r="B441" s="4"/>
      <c r="C441" s="3"/>
      <c r="D441" s="3"/>
      <c r="E441" s="3"/>
    </row>
    <row r="442" spans="1:5">
      <c r="A442" s="3"/>
      <c r="B442" s="4"/>
      <c r="C442" s="3"/>
      <c r="D442" s="3"/>
      <c r="E442" s="3"/>
    </row>
    <row r="443" spans="1:5">
      <c r="A443" s="3"/>
      <c r="B443" s="4"/>
      <c r="C443" s="3"/>
      <c r="D443" s="3"/>
      <c r="E443" s="3"/>
    </row>
    <row r="444" spans="1:5">
      <c r="A444" s="3"/>
      <c r="B444" s="4"/>
      <c r="C444" s="3"/>
      <c r="D444" s="3"/>
      <c r="E444" s="3"/>
    </row>
    <row r="445" spans="1:5">
      <c r="A445" s="3"/>
      <c r="B445" s="4"/>
      <c r="C445" s="3"/>
      <c r="D445" s="3"/>
      <c r="E445" s="3"/>
    </row>
    <row r="446" spans="1:5">
      <c r="A446" s="3"/>
      <c r="B446" s="4"/>
      <c r="C446" s="3"/>
      <c r="D446" s="3"/>
      <c r="E446" s="3"/>
    </row>
    <row r="447" spans="1:5">
      <c r="A447" s="3"/>
      <c r="B447" s="4"/>
      <c r="C447" s="3"/>
      <c r="D447" s="3"/>
      <c r="E447" s="3"/>
    </row>
    <row r="448" spans="1:5">
      <c r="A448" s="3"/>
      <c r="B448" s="4"/>
      <c r="C448" s="3"/>
      <c r="D448" s="3"/>
      <c r="E448" s="3"/>
    </row>
    <row r="449" spans="1:5">
      <c r="A449" s="3"/>
      <c r="B449" s="4"/>
      <c r="C449" s="3"/>
      <c r="D449" s="3"/>
      <c r="E449" s="3"/>
    </row>
    <row r="450" spans="1:5">
      <c r="A450" s="3"/>
      <c r="B450" s="4"/>
      <c r="C450" s="3"/>
      <c r="D450" s="3"/>
      <c r="E450" s="3"/>
    </row>
    <row r="451" spans="1:5">
      <c r="A451" s="3"/>
      <c r="B451" s="4"/>
      <c r="C451" s="3"/>
      <c r="D451" s="3"/>
      <c r="E451" s="3"/>
    </row>
    <row r="452" spans="1:5">
      <c r="A452" s="3"/>
      <c r="B452" s="4"/>
      <c r="C452" s="3"/>
      <c r="D452" s="3"/>
      <c r="E452" s="3"/>
    </row>
    <row r="453" spans="1:5">
      <c r="A453" s="3"/>
      <c r="B453" s="4"/>
      <c r="C453" s="3"/>
      <c r="D453" s="3"/>
      <c r="E453" s="3"/>
    </row>
    <row r="454" spans="1:5">
      <c r="A454" s="3"/>
      <c r="B454" s="4"/>
      <c r="C454" s="3"/>
      <c r="D454" s="3"/>
      <c r="E454" s="3"/>
    </row>
    <row r="455" spans="1:5">
      <c r="A455" s="3"/>
      <c r="B455" s="4"/>
      <c r="C455" s="3"/>
      <c r="D455" s="3"/>
      <c r="E455" s="3"/>
    </row>
    <row r="456" spans="1:5">
      <c r="A456" s="3"/>
      <c r="B456" s="4"/>
      <c r="C456" s="3"/>
      <c r="D456" s="3"/>
      <c r="E456" s="3"/>
    </row>
    <row r="457" spans="1:5">
      <c r="A457" s="3"/>
      <c r="B457" s="4"/>
      <c r="C457" s="3"/>
      <c r="D457" s="3"/>
      <c r="E457" s="3"/>
    </row>
    <row r="458" spans="1:5">
      <c r="A458" s="3"/>
      <c r="B458" s="4"/>
      <c r="C458" s="3"/>
      <c r="D458" s="3"/>
      <c r="E458" s="3"/>
    </row>
    <row r="459" spans="1:5">
      <c r="A459" s="3"/>
      <c r="B459" s="4"/>
      <c r="C459" s="3"/>
      <c r="D459" s="3"/>
      <c r="E459" s="3"/>
    </row>
    <row r="460" spans="1:5">
      <c r="A460" s="3"/>
      <c r="B460" s="4"/>
      <c r="C460" s="3"/>
      <c r="D460" s="3"/>
      <c r="E460" s="3"/>
    </row>
    <row r="461" spans="1:5">
      <c r="A461" s="3"/>
      <c r="B461" s="4"/>
      <c r="C461" s="3"/>
      <c r="D461" s="3"/>
      <c r="E461" s="3"/>
    </row>
    <row r="462" spans="1:5">
      <c r="A462" s="3"/>
      <c r="B462" s="4"/>
      <c r="C462" s="3"/>
      <c r="D462" s="3"/>
      <c r="E462" s="3"/>
    </row>
    <row r="463" spans="1:5">
      <c r="A463" s="3"/>
      <c r="B463" s="4"/>
      <c r="C463" s="3"/>
      <c r="D463" s="3"/>
      <c r="E463" s="3"/>
    </row>
    <row r="464" spans="1:5">
      <c r="A464" s="3"/>
      <c r="B464" s="4"/>
      <c r="C464" s="3"/>
      <c r="D464" s="3"/>
      <c r="E464" s="3"/>
    </row>
    <row r="465" spans="1:5">
      <c r="A465" s="3"/>
      <c r="B465" s="4"/>
      <c r="C465" s="3"/>
      <c r="D465" s="3"/>
      <c r="E465" s="3"/>
    </row>
    <row r="466" spans="1:5">
      <c r="A466" s="3"/>
      <c r="B466" s="4"/>
      <c r="C466" s="3"/>
      <c r="D466" s="3"/>
      <c r="E466" s="3"/>
    </row>
    <row r="467" spans="1:5">
      <c r="A467" s="3"/>
      <c r="B467" s="4"/>
      <c r="C467" s="3"/>
      <c r="D467" s="3"/>
      <c r="E467" s="3"/>
    </row>
    <row r="468" spans="1:5">
      <c r="A468" s="3"/>
      <c r="B468" s="4"/>
      <c r="C468" s="3"/>
      <c r="D468" s="3"/>
      <c r="E468" s="3"/>
    </row>
    <row r="469" spans="1:5">
      <c r="A469" s="3"/>
      <c r="B469" s="4"/>
      <c r="C469" s="3"/>
      <c r="D469" s="3"/>
      <c r="E469" s="3"/>
    </row>
    <row r="470" spans="1:5">
      <c r="A470" s="3"/>
      <c r="B470" s="4"/>
      <c r="C470" s="3"/>
      <c r="D470" s="3"/>
      <c r="E470" s="3"/>
    </row>
    <row r="471" spans="1:5">
      <c r="A471" s="3"/>
      <c r="B471" s="4"/>
      <c r="C471" s="3"/>
      <c r="D471" s="3"/>
      <c r="E471" s="3"/>
    </row>
    <row r="472" spans="1:5">
      <c r="A472" s="3"/>
      <c r="B472" s="4"/>
      <c r="C472" s="3"/>
      <c r="D472" s="3"/>
      <c r="E472" s="3"/>
    </row>
    <row r="473" spans="1:5">
      <c r="A473" s="3"/>
      <c r="B473" s="4"/>
      <c r="C473" s="3"/>
      <c r="D473" s="3"/>
      <c r="E473" s="3"/>
    </row>
    <row r="474" spans="1:5">
      <c r="A474" s="3"/>
      <c r="B474" s="4"/>
      <c r="C474" s="3"/>
      <c r="D474" s="3"/>
      <c r="E474" s="3"/>
    </row>
    <row r="475" spans="1:5">
      <c r="A475" s="3"/>
      <c r="B475" s="4"/>
      <c r="C475" s="3"/>
      <c r="D475" s="3"/>
      <c r="E475" s="3"/>
    </row>
    <row r="476" spans="1:5">
      <c r="A476" s="3"/>
      <c r="B476" s="4"/>
      <c r="C476" s="3"/>
      <c r="D476" s="3"/>
      <c r="E476" s="3"/>
    </row>
    <row r="477" spans="1:5">
      <c r="A477" s="3"/>
      <c r="B477" s="4"/>
      <c r="C477" s="3"/>
      <c r="D477" s="3"/>
      <c r="E477" s="3"/>
    </row>
    <row r="478" spans="1:5">
      <c r="A478" s="3"/>
      <c r="B478" s="4"/>
      <c r="C478" s="3"/>
      <c r="D478" s="3"/>
      <c r="E478" s="3"/>
    </row>
    <row r="479" spans="1:5">
      <c r="A479" s="3"/>
      <c r="B479" s="4"/>
      <c r="C479" s="3"/>
      <c r="D479" s="3"/>
      <c r="E479" s="3"/>
    </row>
    <row r="480" spans="1:5">
      <c r="A480" s="3"/>
      <c r="B480" s="4"/>
      <c r="C480" s="3"/>
      <c r="D480" s="3"/>
      <c r="E480" s="3"/>
    </row>
    <row r="481" spans="1:5">
      <c r="A481" s="3"/>
      <c r="B481" s="4"/>
      <c r="C481" s="3"/>
      <c r="D481" s="3"/>
      <c r="E481" s="3"/>
    </row>
    <row r="482" spans="1:5">
      <c r="A482" s="3"/>
      <c r="B482" s="4"/>
      <c r="C482" s="3"/>
      <c r="D482" s="3"/>
      <c r="E482" s="3"/>
    </row>
    <row r="483" spans="1:5">
      <c r="A483" s="3"/>
      <c r="B483" s="4"/>
      <c r="C483" s="3"/>
      <c r="D483" s="3"/>
      <c r="E483" s="3"/>
    </row>
    <row r="484" spans="1:5">
      <c r="A484" s="3"/>
      <c r="B484" s="4"/>
      <c r="C484" s="3"/>
      <c r="D484" s="3"/>
      <c r="E484" s="3"/>
    </row>
    <row r="485" spans="1:5">
      <c r="A485" s="3"/>
      <c r="B485" s="4"/>
      <c r="C485" s="3"/>
      <c r="D485" s="3"/>
      <c r="E485" s="3"/>
    </row>
    <row r="486" spans="1:5">
      <c r="A486" s="3"/>
      <c r="B486" s="4"/>
      <c r="C486" s="3"/>
      <c r="D486" s="3"/>
      <c r="E486" s="3"/>
    </row>
    <row r="487" spans="1:5">
      <c r="A487" s="3"/>
      <c r="B487" s="4"/>
      <c r="C487" s="3"/>
      <c r="D487" s="3"/>
      <c r="E487" s="3"/>
    </row>
    <row r="488" spans="1:5">
      <c r="A488" s="3"/>
      <c r="B488" s="4"/>
      <c r="C488" s="3"/>
      <c r="D488" s="3"/>
      <c r="E488" s="3"/>
    </row>
    <row r="489" spans="1:5">
      <c r="A489" s="3"/>
      <c r="B489" s="4"/>
      <c r="C489" s="3"/>
      <c r="D489" s="3"/>
      <c r="E489" s="3"/>
    </row>
    <row r="490" spans="1:5">
      <c r="A490" s="3"/>
      <c r="B490" s="4"/>
      <c r="C490" s="3"/>
      <c r="D490" s="3"/>
      <c r="E490" s="3"/>
    </row>
    <row r="491" spans="1:5">
      <c r="A491" s="3"/>
      <c r="B491" s="4"/>
      <c r="C491" s="3"/>
      <c r="D491" s="3"/>
      <c r="E491" s="3"/>
    </row>
    <row r="492" spans="1:5">
      <c r="A492" s="3"/>
      <c r="B492" s="4"/>
      <c r="C492" s="3"/>
      <c r="D492" s="3"/>
      <c r="E492" s="3"/>
    </row>
    <row r="493" spans="1:5">
      <c r="A493" s="3"/>
      <c r="B493" s="4"/>
      <c r="C493" s="3"/>
      <c r="D493" s="3"/>
      <c r="E493" s="3"/>
    </row>
    <row r="494" spans="1:5">
      <c r="A494" s="3"/>
      <c r="B494" s="4"/>
      <c r="C494" s="3"/>
      <c r="D494" s="3"/>
      <c r="E494" s="3"/>
    </row>
    <row r="495" spans="1:5">
      <c r="A495" s="3"/>
      <c r="B495" s="4"/>
      <c r="C495" s="3"/>
      <c r="D495" s="3"/>
      <c r="E495" s="3"/>
    </row>
    <row r="496" spans="1:5">
      <c r="A496" s="3"/>
      <c r="B496" s="4"/>
      <c r="C496" s="3"/>
      <c r="D496" s="3"/>
      <c r="E496" s="3"/>
    </row>
    <row r="497" spans="1:5">
      <c r="A497" s="3"/>
      <c r="B497" s="4"/>
      <c r="C497" s="3"/>
      <c r="D497" s="3"/>
      <c r="E497" s="3"/>
    </row>
    <row r="498" spans="1:5">
      <c r="A498" s="3"/>
      <c r="B498" s="4"/>
      <c r="C498" s="3"/>
      <c r="D498" s="3"/>
      <c r="E498" s="3"/>
    </row>
    <row r="499" spans="1:5">
      <c r="A499" s="3"/>
      <c r="B499" s="4"/>
      <c r="C499" s="3"/>
      <c r="D499" s="3"/>
      <c r="E499" s="3"/>
    </row>
    <row r="500" spans="1:5">
      <c r="A500" s="3"/>
      <c r="B500" s="4"/>
      <c r="C500" s="3"/>
      <c r="D500" s="3"/>
      <c r="E500" s="3"/>
    </row>
    <row r="501" spans="1:5">
      <c r="A501" s="3"/>
      <c r="B501" s="4"/>
      <c r="C501" s="3"/>
      <c r="D501" s="3"/>
      <c r="E501" s="3"/>
    </row>
    <row r="502" spans="1:5">
      <c r="A502" s="3"/>
      <c r="B502" s="4"/>
      <c r="C502" s="3"/>
      <c r="D502" s="3"/>
      <c r="E502" s="3"/>
    </row>
    <row r="503" spans="1:5">
      <c r="A503" s="3"/>
      <c r="B503" s="4"/>
      <c r="C503" s="3"/>
      <c r="D503" s="3"/>
      <c r="E503" s="3"/>
    </row>
    <row r="504" spans="1:5">
      <c r="A504" s="3"/>
      <c r="B504" s="4"/>
      <c r="C504" s="3"/>
      <c r="D504" s="3"/>
      <c r="E504" s="3"/>
    </row>
    <row r="505" spans="1:5">
      <c r="A505" s="3"/>
      <c r="B505" s="4"/>
      <c r="C505" s="3"/>
      <c r="D505" s="3"/>
      <c r="E505" s="3"/>
    </row>
    <row r="506" spans="1:5">
      <c r="A506" s="3"/>
      <c r="B506" s="4"/>
      <c r="C506" s="3"/>
      <c r="D506" s="3"/>
      <c r="E506" s="3"/>
    </row>
    <row r="507" spans="1:5">
      <c r="A507" s="3"/>
      <c r="B507" s="4"/>
      <c r="C507" s="3"/>
      <c r="D507" s="3"/>
      <c r="E507" s="3"/>
    </row>
    <row r="508" spans="1:5">
      <c r="A508" s="3"/>
      <c r="B508" s="4"/>
      <c r="C508" s="3"/>
      <c r="D508" s="3"/>
      <c r="E508" s="3"/>
    </row>
    <row r="509" spans="1:5">
      <c r="A509" s="3"/>
      <c r="B509" s="4"/>
      <c r="C509" s="3"/>
      <c r="D509" s="3"/>
      <c r="E509" s="3"/>
    </row>
    <row r="510" spans="1:5">
      <c r="A510" s="3"/>
      <c r="B510" s="4"/>
      <c r="C510" s="3"/>
      <c r="D510" s="3"/>
      <c r="E510" s="3"/>
    </row>
    <row r="511" spans="1:5">
      <c r="A511" s="3"/>
      <c r="B511" s="4"/>
      <c r="C511" s="3"/>
      <c r="D511" s="3"/>
      <c r="E511" s="3"/>
    </row>
    <row r="512" spans="1:5">
      <c r="A512" s="3"/>
      <c r="B512" s="4"/>
      <c r="C512" s="3"/>
      <c r="D512" s="3"/>
      <c r="E512" s="3"/>
    </row>
    <row r="513" spans="1:5">
      <c r="A513" s="3"/>
      <c r="B513" s="4"/>
      <c r="C513" s="3"/>
      <c r="D513" s="3"/>
      <c r="E513" s="3"/>
    </row>
    <row r="514" spans="1:5">
      <c r="A514" s="3"/>
      <c r="B514" s="4"/>
      <c r="C514" s="3"/>
      <c r="D514" s="3"/>
      <c r="E514" s="3"/>
    </row>
    <row r="515" spans="1:5">
      <c r="A515" s="3"/>
      <c r="B515" s="4"/>
      <c r="C515" s="3"/>
      <c r="D515" s="3"/>
      <c r="E515" s="3"/>
    </row>
    <row r="516" spans="1:5">
      <c r="A516" s="3"/>
      <c r="B516" s="4"/>
      <c r="C516" s="3"/>
      <c r="D516" s="3"/>
      <c r="E516" s="3"/>
    </row>
    <row r="517" spans="1:5">
      <c r="A517" s="3"/>
      <c r="B517" s="4"/>
      <c r="C517" s="3"/>
      <c r="D517" s="3"/>
      <c r="E517" s="3"/>
    </row>
    <row r="518" spans="1:5">
      <c r="A518" s="3"/>
      <c r="B518" s="4"/>
      <c r="C518" s="3"/>
      <c r="D518" s="3"/>
      <c r="E518" s="3"/>
    </row>
    <row r="519" spans="1:5">
      <c r="A519" s="3"/>
      <c r="B519" s="4"/>
      <c r="C519" s="3"/>
      <c r="D519" s="3"/>
      <c r="E519" s="3"/>
    </row>
    <row r="520" spans="1:5">
      <c r="A520" s="3"/>
      <c r="B520" s="4"/>
      <c r="C520" s="3"/>
      <c r="D520" s="3"/>
      <c r="E520" s="3"/>
    </row>
    <row r="521" spans="1:5">
      <c r="A521" s="3"/>
      <c r="B521" s="4"/>
      <c r="C521" s="3"/>
      <c r="D521" s="3"/>
      <c r="E521" s="3"/>
    </row>
    <row r="522" spans="1:5">
      <c r="A522" s="3"/>
      <c r="B522" s="4"/>
      <c r="C522" s="3"/>
      <c r="D522" s="3"/>
      <c r="E522" s="3"/>
    </row>
    <row r="523" spans="1:5">
      <c r="A523" s="3"/>
      <c r="B523" s="4"/>
      <c r="C523" s="3"/>
      <c r="D523" s="3"/>
      <c r="E523" s="3"/>
    </row>
    <row r="524" spans="1:5">
      <c r="A524" s="3"/>
      <c r="B524" s="4"/>
      <c r="C524" s="3"/>
      <c r="D524" s="3"/>
      <c r="E524" s="3"/>
    </row>
    <row r="525" spans="1:5">
      <c r="A525" s="3"/>
      <c r="B525" s="4"/>
      <c r="C525" s="3"/>
      <c r="D525" s="3"/>
      <c r="E525" s="3"/>
    </row>
    <row r="526" spans="1:5">
      <c r="A526" s="3"/>
      <c r="B526" s="4"/>
      <c r="C526" s="3"/>
      <c r="D526" s="3"/>
      <c r="E526" s="3"/>
    </row>
    <row r="527" spans="1:5">
      <c r="A527" s="3"/>
      <c r="B527" s="4"/>
      <c r="C527" s="3"/>
      <c r="D527" s="3"/>
      <c r="E527" s="3"/>
    </row>
    <row r="528" spans="1:5">
      <c r="A528" s="3"/>
      <c r="B528" s="4"/>
      <c r="C528" s="3"/>
      <c r="D528" s="3"/>
      <c r="E528" s="3"/>
    </row>
    <row r="529" spans="1:5">
      <c r="A529" s="3"/>
      <c r="B529" s="4"/>
      <c r="C529" s="3"/>
      <c r="D529" s="3"/>
      <c r="E529" s="3"/>
    </row>
    <row r="530" spans="1:5">
      <c r="A530" s="3"/>
      <c r="B530" s="4"/>
      <c r="C530" s="3"/>
      <c r="D530" s="3"/>
      <c r="E530" s="3"/>
    </row>
    <row r="531" spans="1:5">
      <c r="A531" s="3"/>
      <c r="B531" s="4"/>
      <c r="C531" s="3"/>
      <c r="D531" s="3"/>
      <c r="E531" s="3"/>
    </row>
    <row r="532" spans="1:5">
      <c r="A532" s="3"/>
      <c r="B532" s="4"/>
      <c r="C532" s="3"/>
      <c r="D532" s="3"/>
      <c r="E532" s="3"/>
    </row>
    <row r="533" spans="1:5">
      <c r="A533" s="3"/>
      <c r="B533" s="4"/>
      <c r="C533" s="3"/>
      <c r="D533" s="3"/>
      <c r="E533" s="3"/>
    </row>
    <row r="534" spans="1:5">
      <c r="A534" s="3"/>
      <c r="B534" s="4"/>
      <c r="C534" s="3"/>
      <c r="D534" s="3"/>
      <c r="E534" s="3"/>
    </row>
    <row r="535" spans="1:5">
      <c r="A535" s="3"/>
      <c r="B535" s="4"/>
      <c r="C535" s="3"/>
      <c r="D535" s="3"/>
      <c r="E535" s="3"/>
    </row>
    <row r="536" spans="1:5">
      <c r="A536" s="3"/>
      <c r="B536" s="4"/>
      <c r="C536" s="3"/>
      <c r="D536" s="3"/>
      <c r="E536" s="3"/>
    </row>
    <row r="537" spans="1:5">
      <c r="A537" s="3"/>
      <c r="B537" s="4"/>
      <c r="C537" s="3"/>
      <c r="D537" s="3"/>
      <c r="E537" s="3"/>
    </row>
    <row r="538" spans="1:5">
      <c r="A538" s="3"/>
      <c r="B538" s="4"/>
      <c r="C538" s="3"/>
      <c r="D538" s="3"/>
      <c r="E538" s="3"/>
    </row>
    <row r="539" spans="1:5">
      <c r="A539" s="3"/>
      <c r="B539" s="4"/>
      <c r="C539" s="3"/>
      <c r="D539" s="3"/>
      <c r="E539" s="3"/>
    </row>
    <row r="540" spans="1:5">
      <c r="A540" s="3"/>
      <c r="B540" s="4"/>
      <c r="C540" s="3"/>
      <c r="D540" s="3"/>
      <c r="E540" s="3"/>
    </row>
    <row r="541" spans="1:5">
      <c r="A541" s="3"/>
      <c r="B541" s="4"/>
      <c r="C541" s="3"/>
      <c r="D541" s="3"/>
      <c r="E541" s="3"/>
    </row>
    <row r="542" spans="1:5">
      <c r="A542" s="3"/>
      <c r="B542" s="4"/>
      <c r="C542" s="3"/>
      <c r="D542" s="3"/>
      <c r="E542" s="3"/>
    </row>
    <row r="543" spans="1:5">
      <c r="A543" s="3"/>
      <c r="B543" s="4"/>
      <c r="C543" s="3"/>
      <c r="D543" s="3"/>
      <c r="E543" s="3"/>
    </row>
    <row r="544" spans="1:5">
      <c r="A544" s="3"/>
      <c r="B544" s="4"/>
      <c r="C544" s="3"/>
      <c r="D544" s="3"/>
      <c r="E544" s="3"/>
    </row>
    <row r="545" spans="1:5">
      <c r="A545" s="3"/>
      <c r="B545" s="4"/>
      <c r="C545" s="3"/>
      <c r="D545" s="3"/>
      <c r="E545" s="3"/>
    </row>
    <row r="546" spans="1:5">
      <c r="A546" s="3"/>
      <c r="B546" s="4"/>
      <c r="C546" s="3"/>
      <c r="D546" s="3"/>
      <c r="E546" s="3"/>
    </row>
    <row r="547" spans="1:5">
      <c r="A547" s="3"/>
      <c r="B547" s="4"/>
      <c r="C547" s="3"/>
      <c r="D547" s="3"/>
      <c r="E547" s="3"/>
    </row>
    <row r="548" spans="1:5">
      <c r="A548" s="3"/>
      <c r="B548" s="4"/>
      <c r="C548" s="3"/>
      <c r="D548" s="3"/>
      <c r="E548" s="3"/>
    </row>
    <row r="549" spans="1:5">
      <c r="A549" s="3"/>
      <c r="B549" s="4"/>
      <c r="C549" s="3"/>
      <c r="D549" s="3"/>
      <c r="E549" s="3"/>
    </row>
    <row r="550" spans="1:5">
      <c r="A550" s="3"/>
      <c r="B550" s="4"/>
      <c r="C550" s="3"/>
      <c r="D550" s="3"/>
      <c r="E550" s="3"/>
    </row>
    <row r="551" spans="1:5">
      <c r="A551" s="3"/>
      <c r="B551" s="4"/>
      <c r="C551" s="3"/>
      <c r="D551" s="3"/>
      <c r="E551" s="3"/>
    </row>
    <row r="552" spans="1:5">
      <c r="A552" s="3"/>
      <c r="B552" s="4"/>
      <c r="C552" s="3"/>
      <c r="D552" s="3"/>
      <c r="E552" s="3"/>
    </row>
    <row r="553" spans="1:5">
      <c r="A553" s="3"/>
      <c r="B553" s="4"/>
      <c r="C553" s="3"/>
      <c r="D553" s="3"/>
      <c r="E553" s="3"/>
    </row>
    <row r="554" spans="1:5">
      <c r="A554" s="3"/>
      <c r="B554" s="4"/>
      <c r="C554" s="3"/>
      <c r="D554" s="3"/>
      <c r="E554" s="3"/>
    </row>
    <row r="555" spans="1:5">
      <c r="A555" s="3"/>
      <c r="B555" s="4"/>
      <c r="C555" s="3"/>
      <c r="D555" s="3"/>
      <c r="E555" s="3"/>
    </row>
    <row r="556" spans="1:5">
      <c r="A556" s="3"/>
      <c r="B556" s="4"/>
      <c r="C556" s="3"/>
      <c r="D556" s="3"/>
      <c r="E556" s="3"/>
    </row>
    <row r="557" spans="1:5">
      <c r="A557" s="3"/>
      <c r="B557" s="4"/>
      <c r="C557" s="3"/>
      <c r="D557" s="3"/>
      <c r="E557" s="3"/>
    </row>
    <row r="558" spans="1:5">
      <c r="A558" s="3"/>
      <c r="B558" s="4"/>
      <c r="C558" s="3"/>
      <c r="D558" s="3"/>
      <c r="E558" s="3"/>
    </row>
    <row r="559" spans="1:5">
      <c r="A559" s="3"/>
      <c r="B559" s="4"/>
      <c r="C559" s="3"/>
      <c r="D559" s="3"/>
      <c r="E559" s="3"/>
    </row>
    <row r="560" spans="1:5">
      <c r="A560" s="3"/>
      <c r="B560" s="4"/>
      <c r="C560" s="3"/>
      <c r="D560" s="3"/>
      <c r="E560" s="3"/>
    </row>
    <row r="561" spans="1:5">
      <c r="A561" s="3"/>
      <c r="B561" s="4"/>
      <c r="C561" s="3"/>
      <c r="D561" s="3"/>
      <c r="E561" s="3"/>
    </row>
    <row r="562" spans="1:5">
      <c r="A562" s="3"/>
      <c r="B562" s="4"/>
      <c r="C562" s="3"/>
      <c r="D562" s="3"/>
      <c r="E562" s="3"/>
    </row>
    <row r="563" spans="1:5">
      <c r="A563" s="3"/>
      <c r="B563" s="4"/>
      <c r="C563" s="3"/>
      <c r="D563" s="3"/>
      <c r="E563" s="3"/>
    </row>
    <row r="564" spans="1:5">
      <c r="A564" s="3"/>
      <c r="B564" s="4"/>
      <c r="C564" s="3"/>
      <c r="D564" s="3"/>
      <c r="E564" s="3"/>
    </row>
    <row r="565" spans="1:5">
      <c r="A565" s="3"/>
      <c r="B565" s="4"/>
      <c r="C565" s="3"/>
      <c r="D565" s="3"/>
      <c r="E565" s="3"/>
    </row>
    <row r="566" spans="1:5">
      <c r="A566" s="3"/>
      <c r="B566" s="4"/>
      <c r="C566" s="3"/>
      <c r="D566" s="3"/>
      <c r="E566" s="3"/>
    </row>
    <row r="567" spans="1:5">
      <c r="A567" s="3"/>
      <c r="B567" s="4"/>
      <c r="C567" s="3"/>
      <c r="D567" s="3"/>
      <c r="E567" s="3"/>
    </row>
    <row r="568" spans="1:5">
      <c r="A568" s="3"/>
      <c r="B568" s="4"/>
      <c r="C568" s="3"/>
      <c r="D568" s="3"/>
      <c r="E568" s="3"/>
    </row>
    <row r="569" spans="1:5">
      <c r="A569" s="3"/>
      <c r="B569" s="4"/>
      <c r="C569" s="3"/>
      <c r="D569" s="3"/>
      <c r="E569" s="3"/>
    </row>
    <row r="570" spans="1:5">
      <c r="A570" s="3"/>
      <c r="B570" s="4"/>
      <c r="C570" s="3"/>
      <c r="D570" s="3"/>
      <c r="E570" s="3"/>
    </row>
    <row r="571" spans="1:5">
      <c r="A571" s="3"/>
      <c r="B571" s="4"/>
      <c r="C571" s="3"/>
      <c r="D571" s="3"/>
      <c r="E571" s="3"/>
    </row>
    <row r="572" spans="1:5">
      <c r="A572" s="3"/>
      <c r="B572" s="4"/>
      <c r="C572" s="3"/>
      <c r="D572" s="3"/>
      <c r="E572" s="3"/>
    </row>
    <row r="573" spans="1:5">
      <c r="A573" s="3"/>
      <c r="B573" s="4"/>
      <c r="C573" s="3"/>
      <c r="D573" s="3"/>
      <c r="E573" s="3"/>
    </row>
    <row r="574" spans="1:5">
      <c r="A574" s="3"/>
      <c r="B574" s="4"/>
      <c r="C574" s="3"/>
      <c r="D574" s="3"/>
      <c r="E574" s="3"/>
    </row>
    <row r="575" spans="1:5">
      <c r="A575" s="3"/>
      <c r="B575" s="4"/>
      <c r="C575" s="3"/>
      <c r="D575" s="3"/>
      <c r="E575" s="3"/>
    </row>
    <row r="576" spans="1:5">
      <c r="A576" s="3"/>
      <c r="B576" s="4"/>
      <c r="C576" s="3"/>
      <c r="D576" s="3"/>
      <c r="E576" s="3"/>
    </row>
    <row r="577" spans="1:5">
      <c r="A577" s="3"/>
      <c r="B577" s="4"/>
      <c r="C577" s="3"/>
      <c r="D577" s="3"/>
      <c r="E577" s="3"/>
    </row>
    <row r="578" spans="1:5">
      <c r="A578" s="3"/>
      <c r="B578" s="4"/>
      <c r="C578" s="3"/>
      <c r="D578" s="3"/>
      <c r="E578" s="3"/>
    </row>
    <row r="579" spans="1:5">
      <c r="A579" s="3"/>
      <c r="B579" s="4"/>
      <c r="C579" s="3"/>
      <c r="D579" s="3"/>
      <c r="E579" s="3"/>
    </row>
    <row r="580" spans="1:5">
      <c r="A580" s="3"/>
      <c r="B580" s="4"/>
      <c r="C580" s="3"/>
      <c r="D580" s="3"/>
      <c r="E580" s="3"/>
    </row>
    <row r="581" spans="1:5">
      <c r="A581" s="3"/>
      <c r="B581" s="4"/>
      <c r="C581" s="3"/>
      <c r="D581" s="3"/>
      <c r="E581" s="3"/>
    </row>
    <row r="582" spans="1:5">
      <c r="A582" s="3"/>
      <c r="B582" s="4"/>
      <c r="C582" s="3"/>
      <c r="D582" s="3"/>
      <c r="E582" s="3"/>
    </row>
    <row r="583" spans="1:5">
      <c r="A583" s="3"/>
      <c r="B583" s="4"/>
      <c r="C583" s="3"/>
      <c r="D583" s="3"/>
      <c r="E583" s="3"/>
    </row>
    <row r="584" spans="1:5">
      <c r="A584" s="3"/>
      <c r="B584" s="4"/>
      <c r="C584" s="3"/>
      <c r="D584" s="3"/>
      <c r="E584" s="3"/>
    </row>
    <row r="585" spans="1:5">
      <c r="A585" s="3"/>
      <c r="B585" s="4"/>
      <c r="C585" s="3"/>
      <c r="D585" s="3"/>
      <c r="E585" s="3"/>
    </row>
    <row r="586" spans="1:5">
      <c r="A586" s="3"/>
      <c r="B586" s="4"/>
      <c r="C586" s="3"/>
      <c r="D586" s="3"/>
      <c r="E586" s="3"/>
    </row>
    <row r="587" spans="1:5">
      <c r="A587" s="3"/>
      <c r="B587" s="4"/>
      <c r="C587" s="3"/>
      <c r="D587" s="3"/>
      <c r="E587" s="3"/>
    </row>
    <row r="588" spans="1:5">
      <c r="A588" s="3"/>
      <c r="B588" s="4"/>
      <c r="C588" s="3"/>
      <c r="D588" s="3"/>
      <c r="E588" s="3"/>
    </row>
    <row r="589" spans="1:5">
      <c r="A589" s="3"/>
      <c r="B589" s="4"/>
      <c r="C589" s="3"/>
      <c r="D589" s="3"/>
      <c r="E589" s="3"/>
    </row>
    <row r="590" spans="1:5">
      <c r="A590" s="3"/>
      <c r="B590" s="4"/>
      <c r="C590" s="3"/>
      <c r="D590" s="3"/>
      <c r="E590" s="3"/>
    </row>
    <row r="591" spans="1:5">
      <c r="A591" s="3"/>
      <c r="B591" s="4"/>
      <c r="C591" s="3"/>
      <c r="D591" s="3"/>
      <c r="E591" s="3"/>
    </row>
    <row r="592" spans="1:5">
      <c r="A592" s="3"/>
      <c r="B592" s="4"/>
      <c r="C592" s="3"/>
      <c r="D592" s="3"/>
      <c r="E592" s="3"/>
    </row>
    <row r="593" spans="1:5">
      <c r="A593" s="3"/>
      <c r="B593" s="4"/>
      <c r="C593" s="3"/>
      <c r="D593" s="3"/>
      <c r="E593" s="3"/>
    </row>
    <row r="594" spans="1:5">
      <c r="A594" s="3"/>
      <c r="B594" s="4"/>
      <c r="C594" s="3"/>
      <c r="D594" s="3"/>
      <c r="E594" s="3"/>
    </row>
    <row r="595" spans="1:5">
      <c r="A595" s="3"/>
      <c r="B595" s="4"/>
      <c r="C595" s="3"/>
      <c r="D595" s="3"/>
      <c r="E595" s="3"/>
    </row>
    <row r="596" spans="1:5">
      <c r="A596" s="3"/>
      <c r="B596" s="4"/>
      <c r="C596" s="3"/>
      <c r="D596" s="3"/>
      <c r="E596" s="3"/>
    </row>
    <row r="597" spans="1:5">
      <c r="A597" s="3"/>
      <c r="B597" s="4"/>
      <c r="C597" s="3"/>
      <c r="D597" s="3"/>
      <c r="E597" s="3"/>
    </row>
    <row r="598" spans="1:5">
      <c r="A598" s="3"/>
      <c r="B598" s="4"/>
      <c r="C598" s="3"/>
      <c r="D598" s="3"/>
      <c r="E598" s="3"/>
    </row>
    <row r="599" spans="1:5">
      <c r="A599" s="3"/>
      <c r="B599" s="4"/>
      <c r="C599" s="3"/>
      <c r="D599" s="3"/>
      <c r="E599" s="3"/>
    </row>
    <row r="600" spans="1:5">
      <c r="A600" s="3"/>
      <c r="B600" s="4"/>
      <c r="C600" s="3"/>
      <c r="D600" s="3"/>
      <c r="E600" s="3"/>
    </row>
    <row r="601" spans="1:5">
      <c r="A601" s="3"/>
      <c r="B601" s="4"/>
      <c r="C601" s="3"/>
      <c r="D601" s="3"/>
      <c r="E601" s="3"/>
    </row>
    <row r="602" spans="1:5">
      <c r="A602" s="3"/>
      <c r="B602" s="4"/>
      <c r="C602" s="3"/>
      <c r="D602" s="3"/>
      <c r="E602" s="3"/>
    </row>
    <row r="603" spans="1:5">
      <c r="A603" s="3"/>
      <c r="B603" s="4"/>
      <c r="C603" s="3"/>
      <c r="D603" s="3"/>
      <c r="E603" s="3"/>
    </row>
    <row r="604" spans="1:5">
      <c r="A604" s="3"/>
      <c r="B604" s="4"/>
      <c r="C604" s="3"/>
      <c r="D604" s="3"/>
      <c r="E604" s="3"/>
    </row>
    <row r="605" spans="1:5">
      <c r="A605" s="3"/>
      <c r="B605" s="4"/>
      <c r="C605" s="3"/>
      <c r="D605" s="3"/>
      <c r="E605" s="3"/>
    </row>
    <row r="606" spans="1:5">
      <c r="A606" s="3"/>
      <c r="B606" s="4"/>
      <c r="C606" s="3"/>
      <c r="D606" s="3"/>
      <c r="E606" s="3"/>
    </row>
    <row r="607" spans="1:5">
      <c r="A607" s="3"/>
      <c r="B607" s="4"/>
      <c r="C607" s="3"/>
      <c r="D607" s="3"/>
      <c r="E607" s="3"/>
    </row>
    <row r="608" spans="1:5">
      <c r="A608" s="3"/>
      <c r="B608" s="4"/>
      <c r="C608" s="3"/>
      <c r="D608" s="3"/>
      <c r="E608" s="3"/>
    </row>
    <row r="609" spans="1:5">
      <c r="A609" s="3"/>
      <c r="B609" s="4"/>
      <c r="C609" s="3"/>
      <c r="D609" s="3"/>
      <c r="E609" s="3"/>
    </row>
    <row r="610" spans="1:5">
      <c r="A610" s="3"/>
      <c r="B610" s="4"/>
      <c r="C610" s="3"/>
      <c r="D610" s="3"/>
      <c r="E610" s="3"/>
    </row>
    <row r="611" spans="1:5">
      <c r="A611" s="3"/>
      <c r="B611" s="4"/>
      <c r="C611" s="3"/>
      <c r="D611" s="3"/>
      <c r="E611" s="3"/>
    </row>
    <row r="612" spans="1:5">
      <c r="A612" s="3"/>
      <c r="B612" s="4"/>
      <c r="C612" s="3"/>
      <c r="D612" s="3"/>
      <c r="E612" s="3"/>
    </row>
    <row r="613" spans="1:5">
      <c r="A613" s="3"/>
      <c r="B613" s="4"/>
      <c r="C613" s="3"/>
      <c r="D613" s="3"/>
      <c r="E613" s="3"/>
    </row>
    <row r="614" spans="1:5">
      <c r="A614" s="3"/>
      <c r="B614" s="4"/>
      <c r="C614" s="3"/>
      <c r="D614" s="3"/>
      <c r="E614" s="3"/>
    </row>
    <row r="615" spans="1:5">
      <c r="A615" s="3"/>
      <c r="B615" s="4"/>
      <c r="C615" s="3"/>
      <c r="D615" s="3"/>
      <c r="E615" s="3"/>
    </row>
    <row r="616" spans="1:5">
      <c r="A616" s="3"/>
      <c r="B616" s="4"/>
      <c r="C616" s="3"/>
      <c r="D616" s="3"/>
      <c r="E616" s="3"/>
    </row>
    <row r="617" spans="1:5">
      <c r="A617" s="3"/>
      <c r="B617" s="4"/>
      <c r="C617" s="3"/>
      <c r="D617" s="3"/>
      <c r="E617" s="3"/>
    </row>
    <row r="618" spans="1:5">
      <c r="A618" s="3"/>
      <c r="B618" s="4"/>
      <c r="C618" s="3"/>
      <c r="D618" s="3"/>
      <c r="E618" s="3"/>
    </row>
    <row r="619" spans="1:5">
      <c r="A619" s="3"/>
      <c r="B619" s="4"/>
      <c r="C619" s="3"/>
      <c r="D619" s="3"/>
      <c r="E619" s="3"/>
    </row>
    <row r="620" spans="1:5">
      <c r="A620" s="3"/>
      <c r="B620" s="4"/>
      <c r="C620" s="3"/>
      <c r="D620" s="3"/>
      <c r="E620" s="3"/>
    </row>
    <row r="621" spans="1:5">
      <c r="A621" s="3"/>
      <c r="B621" s="4"/>
      <c r="C621" s="3"/>
      <c r="D621" s="3"/>
      <c r="E621" s="3"/>
    </row>
    <row r="622" spans="1:5">
      <c r="A622" s="3"/>
      <c r="B622" s="4"/>
      <c r="C622" s="3"/>
      <c r="D622" s="3"/>
      <c r="E622" s="3"/>
    </row>
    <row r="623" spans="1:5">
      <c r="A623" s="3"/>
      <c r="B623" s="4"/>
      <c r="C623" s="3"/>
      <c r="D623" s="3"/>
      <c r="E623" s="3"/>
    </row>
    <row r="624" spans="1:5">
      <c r="A624" s="3"/>
      <c r="B624" s="4"/>
      <c r="C624" s="3"/>
      <c r="D624" s="3"/>
      <c r="E624" s="3"/>
    </row>
    <row r="625" spans="1:5">
      <c r="A625" s="3"/>
      <c r="B625" s="4"/>
      <c r="C625" s="3"/>
      <c r="D625" s="3"/>
      <c r="E625" s="3"/>
    </row>
    <row r="626" spans="1:5">
      <c r="A626" s="3"/>
      <c r="B626" s="4"/>
      <c r="C626" s="3"/>
      <c r="D626" s="3"/>
      <c r="E626" s="3"/>
    </row>
    <row r="627" spans="1:5">
      <c r="A627" s="3"/>
      <c r="B627" s="4"/>
      <c r="C627" s="3"/>
      <c r="D627" s="3"/>
      <c r="E627" s="3"/>
    </row>
    <row r="628" spans="1:5">
      <c r="A628" s="3"/>
      <c r="B628" s="4"/>
      <c r="C628" s="3"/>
      <c r="D628" s="3"/>
      <c r="E628" s="3"/>
    </row>
    <row r="629" spans="1:5">
      <c r="A629" s="3"/>
      <c r="B629" s="4"/>
      <c r="C629" s="3"/>
      <c r="D629" s="3"/>
      <c r="E629" s="3"/>
    </row>
    <row r="630" spans="1:5">
      <c r="A630" s="3"/>
      <c r="B630" s="4"/>
      <c r="C630" s="3"/>
      <c r="D630" s="3"/>
      <c r="E630" s="3"/>
    </row>
    <row r="631" spans="1:5">
      <c r="A631" s="3"/>
      <c r="B631" s="4"/>
      <c r="C631" s="3"/>
      <c r="D631" s="3"/>
      <c r="E631" s="3"/>
    </row>
    <row r="632" spans="1:5">
      <c r="A632" s="3"/>
      <c r="B632" s="4"/>
      <c r="C632" s="3"/>
      <c r="D632" s="3"/>
      <c r="E632" s="3"/>
    </row>
    <row r="633" spans="1:5">
      <c r="A633" s="3"/>
      <c r="B633" s="4"/>
      <c r="C633" s="3"/>
      <c r="D633" s="3"/>
      <c r="E633" s="3"/>
    </row>
    <row r="634" spans="1:5">
      <c r="A634" s="3"/>
      <c r="B634" s="4"/>
      <c r="C634" s="3"/>
      <c r="D634" s="3"/>
      <c r="E634" s="3"/>
    </row>
    <row r="635" spans="1:5">
      <c r="A635" s="3"/>
      <c r="B635" s="4"/>
      <c r="C635" s="3"/>
      <c r="D635" s="3"/>
      <c r="E635" s="3"/>
    </row>
    <row r="636" spans="1:5">
      <c r="A636" s="3"/>
      <c r="B636" s="4"/>
      <c r="C636" s="3"/>
      <c r="D636" s="3"/>
      <c r="E636" s="3"/>
    </row>
    <row r="637" spans="1:5">
      <c r="A637" s="3"/>
      <c r="B637" s="4"/>
      <c r="C637" s="3"/>
      <c r="D637" s="3"/>
      <c r="E637" s="3"/>
    </row>
    <row r="638" spans="1:5">
      <c r="A638" s="3"/>
      <c r="B638" s="4"/>
      <c r="C638" s="3"/>
      <c r="D638" s="3"/>
      <c r="E638" s="3"/>
    </row>
    <row r="639" spans="1:5">
      <c r="A639" s="3"/>
      <c r="B639" s="4"/>
      <c r="C639" s="3"/>
      <c r="D639" s="3"/>
      <c r="E639" s="3"/>
    </row>
    <row r="640" spans="1:5">
      <c r="A640" s="3"/>
      <c r="B640" s="4"/>
      <c r="C640" s="3"/>
      <c r="D640" s="3"/>
      <c r="E640" s="3"/>
    </row>
    <row r="641" spans="1:5">
      <c r="A641" s="3"/>
      <c r="B641" s="4"/>
      <c r="C641" s="3"/>
      <c r="D641" s="3"/>
      <c r="E641" s="3"/>
    </row>
    <row r="642" spans="1:5">
      <c r="A642" s="3"/>
      <c r="B642" s="4"/>
      <c r="C642" s="3"/>
      <c r="D642" s="3"/>
      <c r="E642" s="3"/>
    </row>
    <row r="643" spans="1:5">
      <c r="A643" s="3"/>
      <c r="B643" s="4"/>
      <c r="C643" s="3"/>
      <c r="D643" s="3"/>
      <c r="E643" s="3"/>
    </row>
    <row r="644" spans="1:5">
      <c r="A644" s="3"/>
      <c r="B644" s="4"/>
      <c r="C644" s="3"/>
      <c r="D644" s="3"/>
      <c r="E644" s="3"/>
    </row>
    <row r="645" spans="1:5">
      <c r="A645" s="3"/>
      <c r="B645" s="4"/>
      <c r="C645" s="3"/>
      <c r="D645" s="3"/>
      <c r="E645" s="3"/>
    </row>
    <row r="646" spans="1:5">
      <c r="A646" s="3"/>
      <c r="B646" s="4"/>
      <c r="C646" s="3"/>
      <c r="D646" s="3"/>
      <c r="E646" s="3"/>
    </row>
    <row r="647" spans="1:5">
      <c r="A647" s="3"/>
      <c r="B647" s="4"/>
      <c r="C647" s="3"/>
      <c r="D647" s="3"/>
      <c r="E647" s="3"/>
    </row>
    <row r="648" spans="1:5">
      <c r="A648" s="3"/>
      <c r="B648" s="4"/>
      <c r="C648" s="3"/>
      <c r="D648" s="3"/>
      <c r="E648" s="3"/>
    </row>
    <row r="649" spans="1:5">
      <c r="A649" s="3"/>
      <c r="B649" s="4"/>
      <c r="C649" s="3"/>
      <c r="D649" s="3"/>
      <c r="E649" s="3"/>
    </row>
    <row r="650" spans="1:5">
      <c r="A650" s="3"/>
      <c r="B650" s="4"/>
      <c r="C650" s="3"/>
      <c r="D650" s="3"/>
      <c r="E650" s="3"/>
    </row>
    <row r="651" spans="1:5">
      <c r="A651" s="3"/>
      <c r="B651" s="4"/>
      <c r="C651" s="3"/>
      <c r="D651" s="3"/>
      <c r="E651" s="3"/>
    </row>
    <row r="652" spans="1:5">
      <c r="A652" s="3"/>
      <c r="B652" s="4"/>
      <c r="C652" s="3"/>
      <c r="D652" s="3"/>
      <c r="E652" s="3"/>
    </row>
    <row r="653" spans="1:5">
      <c r="A653" s="3"/>
      <c r="B653" s="4"/>
      <c r="C653" s="3"/>
      <c r="D653" s="3"/>
      <c r="E653" s="3"/>
    </row>
    <row r="654" spans="1:5">
      <c r="A654" s="3"/>
      <c r="B654" s="4"/>
      <c r="C654" s="3"/>
      <c r="D654" s="3"/>
      <c r="E654" s="3"/>
    </row>
    <row r="655" spans="1:5">
      <c r="A655" s="3"/>
      <c r="B655" s="4"/>
      <c r="C655" s="3"/>
      <c r="D655" s="3"/>
      <c r="E655" s="3"/>
    </row>
    <row r="656" spans="1:5">
      <c r="A656" s="3"/>
      <c r="B656" s="4"/>
      <c r="C656" s="3"/>
      <c r="D656" s="3"/>
      <c r="E656" s="3"/>
    </row>
    <row r="657" spans="1:5">
      <c r="A657" s="3"/>
      <c r="B657" s="4"/>
      <c r="C657" s="3"/>
      <c r="D657" s="3"/>
      <c r="E657" s="3"/>
    </row>
    <row r="658" spans="1:5">
      <c r="A658" s="3"/>
      <c r="B658" s="4"/>
      <c r="C658" s="3"/>
      <c r="D658" s="3"/>
      <c r="E658" s="3"/>
    </row>
    <row r="659" spans="1:5">
      <c r="A659" s="3"/>
      <c r="B659" s="4"/>
      <c r="C659" s="3"/>
      <c r="D659" s="3"/>
      <c r="E659" s="3"/>
    </row>
    <row r="660" spans="1:5">
      <c r="A660" s="3"/>
      <c r="B660" s="4"/>
      <c r="C660" s="3"/>
      <c r="D660" s="3"/>
      <c r="E660" s="3"/>
    </row>
    <row r="661" spans="1:5">
      <c r="A661" s="3"/>
      <c r="B661" s="4"/>
      <c r="C661" s="3"/>
      <c r="D661" s="3"/>
      <c r="E661" s="3"/>
    </row>
    <row r="662" spans="1:5">
      <c r="A662" s="3"/>
      <c r="B662" s="4"/>
      <c r="C662" s="3"/>
      <c r="D662" s="3"/>
      <c r="E662" s="3"/>
    </row>
    <row r="663" spans="1:5">
      <c r="A663" s="3"/>
      <c r="B663" s="4"/>
      <c r="C663" s="3"/>
      <c r="D663" s="3"/>
      <c r="E663" s="3"/>
    </row>
    <row r="664" spans="1:5">
      <c r="A664" s="3"/>
      <c r="B664" s="4"/>
      <c r="C664" s="3"/>
      <c r="D664" s="3"/>
      <c r="E664" s="3"/>
    </row>
    <row r="665" spans="1:5">
      <c r="A665" s="3"/>
      <c r="B665" s="4"/>
      <c r="C665" s="3"/>
      <c r="D665" s="3"/>
      <c r="E665" s="3"/>
    </row>
    <row r="666" spans="1:5">
      <c r="A666" s="3"/>
      <c r="B666" s="4"/>
      <c r="C666" s="3"/>
      <c r="D666" s="3"/>
      <c r="E666" s="3"/>
    </row>
    <row r="667" spans="1:5">
      <c r="A667" s="3"/>
      <c r="B667" s="4"/>
      <c r="C667" s="3"/>
      <c r="D667" s="3"/>
      <c r="E667" s="3"/>
    </row>
    <row r="668" spans="1:5">
      <c r="A668" s="3"/>
      <c r="B668" s="4"/>
      <c r="C668" s="3"/>
      <c r="D668" s="3"/>
      <c r="E668" s="3"/>
    </row>
    <row r="669" spans="1:5">
      <c r="A669" s="3"/>
      <c r="B669" s="4"/>
      <c r="C669" s="3"/>
      <c r="D669" s="3"/>
      <c r="E669" s="3"/>
    </row>
    <row r="670" spans="1:5">
      <c r="A670" s="3"/>
      <c r="B670" s="4"/>
      <c r="C670" s="3"/>
      <c r="D670" s="3"/>
      <c r="E670" s="3"/>
    </row>
    <row r="671" spans="1:5">
      <c r="A671" s="3"/>
      <c r="B671" s="4"/>
      <c r="C671" s="3"/>
      <c r="D671" s="3"/>
      <c r="E671" s="3"/>
    </row>
    <row r="672" spans="1:5">
      <c r="A672" s="3"/>
      <c r="B672" s="4"/>
      <c r="C672" s="3"/>
      <c r="D672" s="3"/>
      <c r="E672" s="3"/>
    </row>
    <row r="673" spans="1:5">
      <c r="A673" s="3"/>
      <c r="B673" s="4"/>
      <c r="C673" s="3"/>
      <c r="D673" s="3"/>
      <c r="E673" s="3"/>
    </row>
    <row r="674" spans="1:5">
      <c r="A674" s="3"/>
      <c r="B674" s="4"/>
      <c r="C674" s="3"/>
      <c r="D674" s="3"/>
      <c r="E674" s="3"/>
    </row>
    <row r="675" spans="1:5">
      <c r="A675" s="3"/>
      <c r="B675" s="4"/>
      <c r="C675" s="3"/>
      <c r="D675" s="3"/>
      <c r="E675" s="3"/>
    </row>
    <row r="676" spans="1:5">
      <c r="A676" s="3"/>
      <c r="B676" s="4"/>
      <c r="C676" s="3"/>
      <c r="D676" s="3"/>
      <c r="E676" s="3"/>
    </row>
    <row r="677" spans="1:5">
      <c r="A677" s="3"/>
      <c r="B677" s="4"/>
      <c r="C677" s="3"/>
      <c r="D677" s="3"/>
      <c r="E677" s="3"/>
    </row>
    <row r="678" spans="1:5">
      <c r="A678" s="3"/>
      <c r="B678" s="4"/>
      <c r="C678" s="3"/>
      <c r="D678" s="3"/>
      <c r="E678" s="3"/>
    </row>
    <row r="679" spans="1:5">
      <c r="A679" s="3"/>
      <c r="B679" s="4"/>
      <c r="C679" s="3"/>
      <c r="D679" s="3"/>
      <c r="E679" s="3"/>
    </row>
    <row r="680" spans="1:5">
      <c r="A680" s="3"/>
      <c r="B680" s="4"/>
      <c r="C680" s="3"/>
      <c r="D680" s="3"/>
      <c r="E680" s="3"/>
    </row>
    <row r="681" spans="1:5">
      <c r="A681" s="3"/>
      <c r="B681" s="4"/>
      <c r="C681" s="3"/>
      <c r="D681" s="3"/>
      <c r="E681" s="3"/>
    </row>
    <row r="682" spans="1:5">
      <c r="A682" s="3"/>
      <c r="B682" s="4"/>
      <c r="C682" s="3"/>
      <c r="D682" s="3"/>
      <c r="E682" s="3"/>
    </row>
    <row r="683" spans="1:5">
      <c r="A683" s="3"/>
      <c r="B683" s="4"/>
      <c r="C683" s="3"/>
      <c r="D683" s="3"/>
      <c r="E683" s="3"/>
    </row>
    <row r="684" spans="1:5">
      <c r="A684" s="3"/>
      <c r="B684" s="4"/>
      <c r="C684" s="3"/>
      <c r="D684" s="3"/>
      <c r="E684" s="3"/>
    </row>
    <row r="685" spans="1:5">
      <c r="A685" s="3"/>
      <c r="B685" s="4"/>
      <c r="C685" s="3"/>
      <c r="D685" s="3"/>
      <c r="E685" s="3"/>
    </row>
    <row r="686" spans="1:5">
      <c r="A686" s="3"/>
      <c r="B686" s="4"/>
      <c r="C686" s="3"/>
      <c r="D686" s="3"/>
      <c r="E686" s="3"/>
    </row>
    <row r="687" spans="1:5">
      <c r="A687" s="3"/>
      <c r="B687" s="4"/>
      <c r="C687" s="3"/>
      <c r="D687" s="3"/>
      <c r="E687" s="3"/>
    </row>
    <row r="688" spans="1:5">
      <c r="A688" s="3"/>
      <c r="B688" s="4"/>
      <c r="C688" s="3"/>
      <c r="D688" s="3"/>
      <c r="E688" s="3"/>
    </row>
    <row r="689" spans="1:5">
      <c r="A689" s="3"/>
      <c r="B689" s="4"/>
      <c r="C689" s="3"/>
      <c r="D689" s="3"/>
      <c r="E689" s="3"/>
    </row>
    <row r="690" spans="1:5">
      <c r="A690" s="3"/>
      <c r="B690" s="4"/>
      <c r="C690" s="3"/>
      <c r="D690" s="3"/>
      <c r="E690" s="3"/>
    </row>
    <row r="691" spans="1:5">
      <c r="A691" s="3"/>
      <c r="B691" s="4"/>
      <c r="C691" s="3"/>
      <c r="D691" s="3"/>
      <c r="E691" s="3"/>
    </row>
    <row r="692" spans="1:5">
      <c r="A692" s="3"/>
      <c r="B692" s="4"/>
      <c r="C692" s="3"/>
      <c r="D692" s="3"/>
      <c r="E692" s="3"/>
    </row>
    <row r="693" spans="1:5">
      <c r="A693" s="3"/>
      <c r="B693" s="4"/>
      <c r="C693" s="3"/>
      <c r="D693" s="3"/>
      <c r="E693" s="3"/>
    </row>
    <row r="694" spans="1:5">
      <c r="A694" s="3"/>
      <c r="B694" s="4"/>
      <c r="C694" s="3"/>
      <c r="D694" s="3"/>
      <c r="E694" s="3"/>
    </row>
    <row r="695" spans="1:5">
      <c r="A695" s="3"/>
      <c r="B695" s="4"/>
      <c r="C695" s="3"/>
      <c r="D695" s="3"/>
      <c r="E695" s="3"/>
    </row>
    <row r="696" spans="1:5">
      <c r="A696" s="3"/>
      <c r="B696" s="4"/>
      <c r="C696" s="3"/>
      <c r="D696" s="3"/>
      <c r="E696" s="3"/>
    </row>
    <row r="697" spans="1:5">
      <c r="A697" s="3"/>
      <c r="B697" s="4"/>
      <c r="C697" s="3"/>
      <c r="D697" s="3"/>
      <c r="E697" s="3"/>
    </row>
    <row r="698" spans="1:5">
      <c r="A698" s="3"/>
      <c r="B698" s="4"/>
      <c r="C698" s="3"/>
      <c r="D698" s="3"/>
      <c r="E698" s="3"/>
    </row>
    <row r="699" spans="1:5">
      <c r="A699" s="3"/>
      <c r="B699" s="4"/>
      <c r="C699" s="3"/>
      <c r="D699" s="3"/>
      <c r="E699" s="3"/>
    </row>
    <row r="700" spans="1:5">
      <c r="A700" s="3"/>
      <c r="B700" s="4"/>
      <c r="C700" s="3"/>
      <c r="D700" s="3"/>
      <c r="E700" s="3"/>
    </row>
    <row r="701" spans="1:5">
      <c r="A701" s="3"/>
      <c r="B701" s="4"/>
      <c r="C701" s="3"/>
      <c r="D701" s="3"/>
      <c r="E701" s="3"/>
    </row>
    <row r="702" spans="1:5">
      <c r="A702" s="3"/>
      <c r="B702" s="4"/>
      <c r="C702" s="3"/>
      <c r="D702" s="3"/>
      <c r="E702" s="3"/>
    </row>
    <row r="703" spans="1:5">
      <c r="A703" s="3"/>
      <c r="B703" s="4"/>
      <c r="C703" s="3"/>
      <c r="D703" s="3"/>
      <c r="E703" s="3"/>
    </row>
    <row r="704" spans="1:5">
      <c r="A704" s="3"/>
      <c r="B704" s="4"/>
      <c r="C704" s="3"/>
      <c r="D704" s="3"/>
      <c r="E704" s="3"/>
    </row>
    <row r="705" spans="1:5">
      <c r="A705" s="3"/>
      <c r="B705" s="4"/>
      <c r="C705" s="3"/>
      <c r="D705" s="3"/>
      <c r="E705" s="3"/>
    </row>
    <row r="706" spans="1:5">
      <c r="A706" s="3"/>
      <c r="B706" s="4"/>
      <c r="C706" s="3"/>
      <c r="D706" s="3"/>
      <c r="E706" s="3"/>
    </row>
    <row r="707" spans="1:5">
      <c r="A707" s="3"/>
      <c r="B707" s="4"/>
      <c r="C707" s="3"/>
      <c r="D707" s="3"/>
      <c r="E707" s="3"/>
    </row>
    <row r="708" spans="1:5">
      <c r="A708" s="3"/>
      <c r="B708" s="4"/>
      <c r="C708" s="3"/>
      <c r="D708" s="3"/>
      <c r="E708" s="3"/>
    </row>
    <row r="709" spans="1:5">
      <c r="A709" s="3"/>
      <c r="B709" s="4"/>
      <c r="C709" s="3"/>
      <c r="D709" s="3"/>
      <c r="E709" s="3"/>
    </row>
    <row r="710" spans="1:5">
      <c r="A710" s="3"/>
      <c r="B710" s="4"/>
      <c r="C710" s="3"/>
      <c r="D710" s="3"/>
      <c r="E710" s="3"/>
    </row>
    <row r="711" spans="1:5">
      <c r="A711" s="3"/>
      <c r="B711" s="4"/>
      <c r="C711" s="3"/>
      <c r="D711" s="3"/>
      <c r="E711" s="3"/>
    </row>
    <row r="712" spans="1:5">
      <c r="A712" s="3"/>
      <c r="B712" s="4"/>
      <c r="C712" s="3"/>
      <c r="D712" s="3"/>
      <c r="E712" s="3"/>
    </row>
    <row r="713" spans="1:5">
      <c r="A713" s="3"/>
      <c r="B713" s="4"/>
      <c r="C713" s="3"/>
      <c r="D713" s="3"/>
      <c r="E713" s="3"/>
    </row>
  </sheetData>
  <autoFilter ref="A8:B46"/>
  <phoneticPr fontId="3" type="noConversion"/>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dimension ref="A2:B288"/>
  <sheetViews>
    <sheetView workbookViewId="0">
      <selection activeCell="N31" sqref="N31"/>
    </sheetView>
  </sheetViews>
  <sheetFormatPr defaultRowHeight="12.75"/>
  <cols>
    <col min="1" max="1" width="25.42578125" customWidth="1"/>
    <col min="2" max="2" width="63.28515625" customWidth="1"/>
  </cols>
  <sheetData>
    <row r="2" spans="1:2" ht="21">
      <c r="A2" s="170" t="s">
        <v>131</v>
      </c>
      <c r="B2" s="171" t="s">
        <v>442</v>
      </c>
    </row>
    <row r="3" spans="1:2" ht="21">
      <c r="A3" s="170" t="s">
        <v>444</v>
      </c>
      <c r="B3" s="171" t="s">
        <v>443</v>
      </c>
    </row>
    <row r="4" spans="1:2" ht="56.25">
      <c r="A4" s="172" t="s">
        <v>827</v>
      </c>
      <c r="B4" s="173" t="s">
        <v>828</v>
      </c>
    </row>
    <row r="5" spans="1:2" ht="67.5">
      <c r="A5" s="172" t="s">
        <v>742</v>
      </c>
      <c r="B5" s="173" t="s">
        <v>410</v>
      </c>
    </row>
    <row r="6" spans="1:2" ht="67.5">
      <c r="A6" s="172" t="s">
        <v>750</v>
      </c>
      <c r="B6" s="173" t="s">
        <v>413</v>
      </c>
    </row>
    <row r="7" spans="1:2" ht="67.5">
      <c r="A7" s="172" t="s">
        <v>754</v>
      </c>
      <c r="B7" s="173" t="s">
        <v>414</v>
      </c>
    </row>
    <row r="8" spans="1:2" ht="67.5">
      <c r="A8" s="172" t="s">
        <v>767</v>
      </c>
      <c r="B8" s="173" t="s">
        <v>417</v>
      </c>
    </row>
    <row r="9" spans="1:2" ht="78.75">
      <c r="A9" s="172" t="s">
        <v>743</v>
      </c>
      <c r="B9" s="173" t="s">
        <v>572</v>
      </c>
    </row>
    <row r="10" spans="1:2" ht="90">
      <c r="A10" s="172" t="s">
        <v>751</v>
      </c>
      <c r="B10" s="173" t="s">
        <v>415</v>
      </c>
    </row>
    <row r="11" spans="1:2" ht="90">
      <c r="A11" s="172" t="s">
        <v>755</v>
      </c>
      <c r="B11" s="173" t="s">
        <v>576</v>
      </c>
    </row>
    <row r="12" spans="1:2" ht="90">
      <c r="A12" s="172" t="s">
        <v>768</v>
      </c>
      <c r="B12" s="173" t="s">
        <v>418</v>
      </c>
    </row>
    <row r="13" spans="1:2" ht="78.75">
      <c r="A13" s="172" t="s">
        <v>829</v>
      </c>
      <c r="B13" s="173" t="s">
        <v>830</v>
      </c>
    </row>
    <row r="14" spans="1:2" ht="78.75">
      <c r="A14" s="172" t="s">
        <v>757</v>
      </c>
      <c r="B14" s="173" t="s">
        <v>530</v>
      </c>
    </row>
    <row r="15" spans="1:2" ht="78.75">
      <c r="A15" s="172" t="s">
        <v>831</v>
      </c>
      <c r="B15" s="173" t="s">
        <v>832</v>
      </c>
    </row>
    <row r="16" spans="1:2" ht="67.5">
      <c r="A16" s="172" t="s">
        <v>756</v>
      </c>
      <c r="B16" s="173" t="s">
        <v>577</v>
      </c>
    </row>
    <row r="17" spans="1:2" ht="67.5">
      <c r="A17" s="172" t="s">
        <v>744</v>
      </c>
      <c r="B17" s="173" t="s">
        <v>573</v>
      </c>
    </row>
    <row r="18" spans="1:2" ht="67.5">
      <c r="A18" s="172" t="s">
        <v>752</v>
      </c>
      <c r="B18" s="173" t="s">
        <v>578</v>
      </c>
    </row>
    <row r="19" spans="1:2" ht="67.5">
      <c r="A19" s="172" t="s">
        <v>759</v>
      </c>
      <c r="B19" s="173" t="s">
        <v>579</v>
      </c>
    </row>
    <row r="20" spans="1:2" ht="67.5">
      <c r="A20" s="172" t="s">
        <v>770</v>
      </c>
      <c r="B20" s="173" t="s">
        <v>769</v>
      </c>
    </row>
    <row r="21" spans="1:2" ht="67.5">
      <c r="A21" s="172" t="s">
        <v>745</v>
      </c>
      <c r="B21" s="173" t="s">
        <v>574</v>
      </c>
    </row>
    <row r="22" spans="1:2" ht="78.75">
      <c r="A22" s="172" t="s">
        <v>753</v>
      </c>
      <c r="B22" s="173" t="s">
        <v>580</v>
      </c>
    </row>
    <row r="23" spans="1:2" ht="67.5">
      <c r="A23" s="172" t="s">
        <v>760</v>
      </c>
      <c r="B23" s="173" t="s">
        <v>581</v>
      </c>
    </row>
    <row r="24" spans="1:2" ht="56.25">
      <c r="A24" s="172" t="s">
        <v>746</v>
      </c>
      <c r="B24" s="173" t="s">
        <v>575</v>
      </c>
    </row>
    <row r="25" spans="1:2" ht="67.5">
      <c r="A25" s="172" t="s">
        <v>758</v>
      </c>
      <c r="B25" s="173" t="s">
        <v>582</v>
      </c>
    </row>
    <row r="26" spans="1:2" ht="45">
      <c r="A26" s="172" t="s">
        <v>833</v>
      </c>
      <c r="B26" s="173" t="s">
        <v>834</v>
      </c>
    </row>
    <row r="27" spans="1:2" ht="56.25">
      <c r="A27" s="172" t="s">
        <v>835</v>
      </c>
      <c r="B27" s="173" t="s">
        <v>836</v>
      </c>
    </row>
    <row r="28" spans="1:2" ht="56.25">
      <c r="A28" s="172" t="s">
        <v>837</v>
      </c>
      <c r="B28" s="173" t="s">
        <v>838</v>
      </c>
    </row>
    <row r="29" spans="1:2" ht="90">
      <c r="A29" s="172" t="s">
        <v>785</v>
      </c>
      <c r="B29" s="173" t="s">
        <v>534</v>
      </c>
    </row>
    <row r="30" spans="1:2" ht="67.5">
      <c r="A30" s="172" t="s">
        <v>787</v>
      </c>
      <c r="B30" s="173" t="s">
        <v>424</v>
      </c>
    </row>
    <row r="31" spans="1:2" ht="67.5">
      <c r="A31" s="172" t="s">
        <v>839</v>
      </c>
      <c r="B31" s="173" t="s">
        <v>840</v>
      </c>
    </row>
    <row r="32" spans="1:2" ht="56.25">
      <c r="A32" s="172" t="s">
        <v>841</v>
      </c>
      <c r="B32" s="173" t="s">
        <v>842</v>
      </c>
    </row>
    <row r="33" spans="1:2" ht="90">
      <c r="A33" s="172" t="s">
        <v>747</v>
      </c>
      <c r="B33" s="173" t="s">
        <v>412</v>
      </c>
    </row>
    <row r="34" spans="1:2" ht="67.5">
      <c r="A34" s="172" t="s">
        <v>786</v>
      </c>
      <c r="B34" s="173" t="s">
        <v>422</v>
      </c>
    </row>
    <row r="35" spans="1:2" ht="67.5">
      <c r="A35" s="172" t="s">
        <v>843</v>
      </c>
      <c r="B35" s="173" t="s">
        <v>844</v>
      </c>
    </row>
    <row r="36" spans="1:2" ht="45">
      <c r="A36" s="172" t="s">
        <v>845</v>
      </c>
      <c r="B36" s="173" t="s">
        <v>846</v>
      </c>
    </row>
    <row r="37" spans="1:2" ht="78.75">
      <c r="A37" s="172" t="s">
        <v>739</v>
      </c>
      <c r="B37" s="173" t="s">
        <v>409</v>
      </c>
    </row>
    <row r="38" spans="1:2" ht="56.25">
      <c r="A38" s="172" t="s">
        <v>847</v>
      </c>
      <c r="B38" s="173" t="s">
        <v>848</v>
      </c>
    </row>
    <row r="39" spans="1:2" ht="45">
      <c r="A39" s="172" t="s">
        <v>849</v>
      </c>
      <c r="B39" s="174" t="s">
        <v>850</v>
      </c>
    </row>
    <row r="40" spans="1:2" ht="33.75">
      <c r="A40" s="172" t="s">
        <v>761</v>
      </c>
      <c r="B40" s="174" t="s">
        <v>411</v>
      </c>
    </row>
    <row r="41" spans="1:2" ht="33.75">
      <c r="A41" s="172" t="s">
        <v>776</v>
      </c>
      <c r="B41" s="174" t="s">
        <v>393</v>
      </c>
    </row>
    <row r="42" spans="1:2" ht="67.5">
      <c r="A42" s="172" t="s">
        <v>851</v>
      </c>
      <c r="B42" s="173" t="s">
        <v>852</v>
      </c>
    </row>
    <row r="43" spans="1:2" ht="56.25">
      <c r="A43" s="172" t="s">
        <v>853</v>
      </c>
      <c r="B43" s="173" t="s">
        <v>606</v>
      </c>
    </row>
    <row r="44" spans="1:2" ht="56.25">
      <c r="A44" s="172" t="s">
        <v>854</v>
      </c>
      <c r="B44" s="173" t="s">
        <v>855</v>
      </c>
    </row>
    <row r="45" spans="1:2" ht="56.25">
      <c r="A45" s="172" t="s">
        <v>856</v>
      </c>
      <c r="B45" s="173" t="s">
        <v>857</v>
      </c>
    </row>
    <row r="46" spans="1:2" ht="67.5">
      <c r="A46" s="172" t="s">
        <v>858</v>
      </c>
      <c r="B46" s="173" t="s">
        <v>859</v>
      </c>
    </row>
    <row r="47" spans="1:2" ht="56.25">
      <c r="A47" s="172" t="s">
        <v>696</v>
      </c>
      <c r="B47" s="173" t="s">
        <v>506</v>
      </c>
    </row>
    <row r="48" spans="1:2" ht="33.75">
      <c r="A48" s="172" t="s">
        <v>763</v>
      </c>
      <c r="B48" s="174" t="s">
        <v>584</v>
      </c>
    </row>
    <row r="49" spans="1:2" ht="56.25">
      <c r="A49" s="172" t="s">
        <v>771</v>
      </c>
      <c r="B49" s="173" t="s">
        <v>419</v>
      </c>
    </row>
    <row r="50" spans="1:2" ht="56.25">
      <c r="A50" s="172" t="s">
        <v>772</v>
      </c>
      <c r="B50" s="173" t="s">
        <v>416</v>
      </c>
    </row>
    <row r="51" spans="1:2" ht="56.25">
      <c r="A51" s="172" t="s">
        <v>860</v>
      </c>
      <c r="B51" s="173" t="s">
        <v>861</v>
      </c>
    </row>
    <row r="52" spans="1:2" ht="21">
      <c r="A52" s="170" t="s">
        <v>446</v>
      </c>
      <c r="B52" s="171" t="s">
        <v>445</v>
      </c>
    </row>
    <row r="53" spans="1:2" ht="56.25">
      <c r="A53" s="172" t="s">
        <v>777</v>
      </c>
      <c r="B53" s="173" t="s">
        <v>421</v>
      </c>
    </row>
    <row r="54" spans="1:2" ht="21">
      <c r="A54" s="170" t="s">
        <v>448</v>
      </c>
      <c r="B54" s="171" t="s">
        <v>615</v>
      </c>
    </row>
    <row r="55" spans="1:2" ht="45">
      <c r="A55" s="172" t="s">
        <v>778</v>
      </c>
      <c r="B55" s="174" t="s">
        <v>609</v>
      </c>
    </row>
    <row r="56" spans="1:2" ht="67.5">
      <c r="A56" s="172" t="s">
        <v>779</v>
      </c>
      <c r="B56" s="173" t="s">
        <v>622</v>
      </c>
    </row>
    <row r="57" spans="1:2" ht="45">
      <c r="A57" s="172" t="s">
        <v>775</v>
      </c>
      <c r="B57" s="174" t="s">
        <v>607</v>
      </c>
    </row>
    <row r="58" spans="1:2" ht="45">
      <c r="A58" s="172" t="s">
        <v>806</v>
      </c>
      <c r="B58" s="173" t="s">
        <v>608</v>
      </c>
    </row>
    <row r="59" spans="1:2" ht="21">
      <c r="A59" s="170" t="s">
        <v>223</v>
      </c>
      <c r="B59" s="171" t="s">
        <v>587</v>
      </c>
    </row>
    <row r="60" spans="1:2">
      <c r="A60" s="170" t="s">
        <v>807</v>
      </c>
      <c r="B60" s="171" t="s">
        <v>589</v>
      </c>
    </row>
    <row r="61" spans="1:2" ht="45">
      <c r="A61" s="172" t="s">
        <v>698</v>
      </c>
      <c r="B61" s="174" t="s">
        <v>564</v>
      </c>
    </row>
    <row r="62" spans="1:2" ht="42">
      <c r="A62" s="170" t="s">
        <v>808</v>
      </c>
      <c r="B62" s="171" t="s">
        <v>590</v>
      </c>
    </row>
    <row r="63" spans="1:2" ht="78.75">
      <c r="A63" s="172" t="s">
        <v>701</v>
      </c>
      <c r="B63" s="173" t="s">
        <v>565</v>
      </c>
    </row>
    <row r="64" spans="1:2">
      <c r="A64" s="170" t="s">
        <v>862</v>
      </c>
      <c r="B64" s="171" t="s">
        <v>863</v>
      </c>
    </row>
    <row r="65" spans="1:2" ht="101.25">
      <c r="A65" s="172" t="s">
        <v>864</v>
      </c>
      <c r="B65" s="173" t="s">
        <v>865</v>
      </c>
    </row>
    <row r="66" spans="1:2" ht="45">
      <c r="A66" s="172" t="s">
        <v>866</v>
      </c>
      <c r="B66" s="174" t="s">
        <v>867</v>
      </c>
    </row>
    <row r="67" spans="1:2" ht="112.5">
      <c r="A67" s="172" t="s">
        <v>868</v>
      </c>
      <c r="B67" s="173" t="s">
        <v>869</v>
      </c>
    </row>
    <row r="68" spans="1:2" ht="31.5">
      <c r="A68" s="170" t="s">
        <v>235</v>
      </c>
      <c r="B68" s="171" t="s">
        <v>452</v>
      </c>
    </row>
    <row r="69" spans="1:2" ht="21">
      <c r="A69" s="170" t="s">
        <v>821</v>
      </c>
      <c r="B69" s="171" t="s">
        <v>820</v>
      </c>
    </row>
    <row r="70" spans="1:2" ht="123.75">
      <c r="A70" s="172" t="s">
        <v>870</v>
      </c>
      <c r="B70" s="173" t="s">
        <v>871</v>
      </c>
    </row>
    <row r="71" spans="1:2" ht="123.75">
      <c r="A71" s="172" t="s">
        <v>804</v>
      </c>
      <c r="B71" s="173" t="s">
        <v>505</v>
      </c>
    </row>
    <row r="72" spans="1:2" ht="21">
      <c r="A72" s="170" t="s">
        <v>453</v>
      </c>
      <c r="B72" s="171" t="s">
        <v>591</v>
      </c>
    </row>
    <row r="73" spans="1:2" ht="78.75">
      <c r="A73" s="172" t="s">
        <v>679</v>
      </c>
      <c r="B73" s="173" t="s">
        <v>562</v>
      </c>
    </row>
    <row r="74" spans="1:2" ht="90">
      <c r="A74" s="172" t="s">
        <v>678</v>
      </c>
      <c r="B74" s="173" t="s">
        <v>502</v>
      </c>
    </row>
    <row r="75" spans="1:2" ht="31.5">
      <c r="A75" s="170" t="s">
        <v>543</v>
      </c>
      <c r="B75" s="171" t="s">
        <v>592</v>
      </c>
    </row>
    <row r="76" spans="1:2" ht="56.25">
      <c r="A76" s="172" t="s">
        <v>737</v>
      </c>
      <c r="B76" s="173" t="s">
        <v>529</v>
      </c>
    </row>
    <row r="77" spans="1:2" ht="21">
      <c r="A77" s="170" t="s">
        <v>455</v>
      </c>
      <c r="B77" s="171" t="s">
        <v>454</v>
      </c>
    </row>
    <row r="78" spans="1:2" ht="45">
      <c r="A78" s="172" t="s">
        <v>765</v>
      </c>
      <c r="B78" s="173" t="s">
        <v>396</v>
      </c>
    </row>
    <row r="79" spans="1:2" ht="31.5">
      <c r="A79" s="170" t="s">
        <v>809</v>
      </c>
      <c r="B79" s="171" t="s">
        <v>593</v>
      </c>
    </row>
    <row r="80" spans="1:2" ht="56.25">
      <c r="A80" s="172" t="s">
        <v>872</v>
      </c>
      <c r="B80" s="173" t="s">
        <v>873</v>
      </c>
    </row>
    <row r="81" spans="1:2" ht="56.25">
      <c r="A81" s="172" t="s">
        <v>693</v>
      </c>
      <c r="B81" s="173" t="s">
        <v>387</v>
      </c>
    </row>
    <row r="82" spans="1:2" ht="67.5">
      <c r="A82" s="172" t="s">
        <v>874</v>
      </c>
      <c r="B82" s="173" t="s">
        <v>875</v>
      </c>
    </row>
    <row r="83" spans="1:2" ht="21">
      <c r="A83" s="170" t="s">
        <v>823</v>
      </c>
      <c r="B83" s="171" t="s">
        <v>822</v>
      </c>
    </row>
    <row r="84" spans="1:2" ht="56.25">
      <c r="A84" s="172" t="s">
        <v>876</v>
      </c>
      <c r="B84" s="173" t="s">
        <v>826</v>
      </c>
    </row>
    <row r="85" spans="1:2" ht="45">
      <c r="A85" s="172" t="s">
        <v>877</v>
      </c>
      <c r="B85" s="174" t="s">
        <v>878</v>
      </c>
    </row>
    <row r="86" spans="1:2" ht="56.25">
      <c r="A86" s="172" t="s">
        <v>879</v>
      </c>
      <c r="B86" s="173" t="s">
        <v>880</v>
      </c>
    </row>
    <row r="87" spans="1:2" ht="31.5">
      <c r="A87" s="170" t="s">
        <v>237</v>
      </c>
      <c r="B87" s="171" t="s">
        <v>456</v>
      </c>
    </row>
    <row r="88" spans="1:2" ht="42">
      <c r="A88" s="170" t="s">
        <v>458</v>
      </c>
      <c r="B88" s="171" t="s">
        <v>457</v>
      </c>
    </row>
    <row r="89" spans="1:2" ht="78.75">
      <c r="A89" s="172" t="s">
        <v>656</v>
      </c>
      <c r="B89" s="173" t="s">
        <v>341</v>
      </c>
    </row>
    <row r="90" spans="1:2" ht="90">
      <c r="A90" s="172" t="s">
        <v>657</v>
      </c>
      <c r="B90" s="173" t="s">
        <v>626</v>
      </c>
    </row>
    <row r="91" spans="1:2" ht="67.5">
      <c r="A91" s="172" t="s">
        <v>667</v>
      </c>
      <c r="B91" s="173" t="s">
        <v>351</v>
      </c>
    </row>
    <row r="92" spans="1:2" ht="21">
      <c r="A92" s="170" t="s">
        <v>460</v>
      </c>
      <c r="B92" s="171" t="s">
        <v>459</v>
      </c>
    </row>
    <row r="93" spans="1:2" ht="56.25">
      <c r="A93" s="172" t="s">
        <v>661</v>
      </c>
      <c r="B93" s="173" t="s">
        <v>349</v>
      </c>
    </row>
    <row r="94" spans="1:2" ht="56.25">
      <c r="A94" s="172" t="s">
        <v>662</v>
      </c>
      <c r="B94" s="173" t="s">
        <v>350</v>
      </c>
    </row>
    <row r="95" spans="1:2" ht="56.25">
      <c r="A95" s="172" t="s">
        <v>645</v>
      </c>
      <c r="B95" s="173" t="s">
        <v>334</v>
      </c>
    </row>
    <row r="96" spans="1:2" ht="52.5">
      <c r="A96" s="170" t="s">
        <v>881</v>
      </c>
      <c r="B96" s="175" t="s">
        <v>882</v>
      </c>
    </row>
    <row r="97" spans="1:2" ht="45">
      <c r="A97" s="172" t="s">
        <v>881</v>
      </c>
      <c r="B97" s="173" t="s">
        <v>882</v>
      </c>
    </row>
    <row r="98" spans="1:2" ht="63">
      <c r="A98" s="170" t="s">
        <v>883</v>
      </c>
      <c r="B98" s="175" t="s">
        <v>884</v>
      </c>
    </row>
    <row r="99" spans="1:2" ht="56.25">
      <c r="A99" s="172" t="s">
        <v>883</v>
      </c>
      <c r="B99" s="173" t="s">
        <v>884</v>
      </c>
    </row>
    <row r="100" spans="1:2">
      <c r="A100" s="170" t="s">
        <v>227</v>
      </c>
      <c r="B100" s="171" t="s">
        <v>461</v>
      </c>
    </row>
    <row r="101" spans="1:2">
      <c r="A101" s="170" t="s">
        <v>463</v>
      </c>
      <c r="B101" s="171" t="s">
        <v>462</v>
      </c>
    </row>
    <row r="102" spans="1:2" ht="63">
      <c r="A102" s="170" t="s">
        <v>708</v>
      </c>
      <c r="B102" s="175" t="s">
        <v>397</v>
      </c>
    </row>
    <row r="103" spans="1:2" ht="56.25">
      <c r="A103" s="172" t="s">
        <v>708</v>
      </c>
      <c r="B103" s="173" t="s">
        <v>397</v>
      </c>
    </row>
    <row r="104" spans="1:2" ht="67.5">
      <c r="A104" s="172" t="s">
        <v>709</v>
      </c>
      <c r="B104" s="173" t="s">
        <v>398</v>
      </c>
    </row>
    <row r="105" spans="1:2" ht="56.25">
      <c r="A105" s="172" t="s">
        <v>711</v>
      </c>
      <c r="B105" s="173" t="s">
        <v>568</v>
      </c>
    </row>
    <row r="106" spans="1:2" ht="45">
      <c r="A106" s="172" t="s">
        <v>885</v>
      </c>
      <c r="B106" s="174" t="s">
        <v>886</v>
      </c>
    </row>
    <row r="107" spans="1:2" ht="33.75">
      <c r="A107" s="172" t="s">
        <v>887</v>
      </c>
      <c r="B107" s="174" t="s">
        <v>888</v>
      </c>
    </row>
    <row r="108" spans="1:2" ht="33.75">
      <c r="A108" s="172" t="s">
        <v>717</v>
      </c>
      <c r="B108" s="174" t="s">
        <v>400</v>
      </c>
    </row>
    <row r="109" spans="1:2" ht="56.25">
      <c r="A109" s="172" t="s">
        <v>889</v>
      </c>
      <c r="B109" s="173" t="s">
        <v>890</v>
      </c>
    </row>
    <row r="110" spans="1:2" ht="33.75">
      <c r="A110" s="172" t="s">
        <v>719</v>
      </c>
      <c r="B110" s="174" t="s">
        <v>616</v>
      </c>
    </row>
    <row r="111" spans="1:2" ht="33.75">
      <c r="A111" s="172" t="s">
        <v>713</v>
      </c>
      <c r="B111" s="174" t="s">
        <v>399</v>
      </c>
    </row>
    <row r="112" spans="1:2" ht="67.5">
      <c r="A112" s="172" t="s">
        <v>714</v>
      </c>
      <c r="B112" s="173" t="s">
        <v>627</v>
      </c>
    </row>
    <row r="113" spans="1:2">
      <c r="A113" s="170" t="s">
        <v>464</v>
      </c>
      <c r="B113" s="171" t="s">
        <v>594</v>
      </c>
    </row>
    <row r="114" spans="1:2" ht="56.25">
      <c r="A114" s="172" t="s">
        <v>720</v>
      </c>
      <c r="B114" s="173" t="s">
        <v>516</v>
      </c>
    </row>
    <row r="115" spans="1:2" ht="78.75">
      <c r="A115" s="172" t="s">
        <v>721</v>
      </c>
      <c r="B115" s="173" t="s">
        <v>517</v>
      </c>
    </row>
    <row r="116" spans="1:2" ht="56.25">
      <c r="A116" s="172" t="s">
        <v>724</v>
      </c>
      <c r="B116" s="173" t="s">
        <v>570</v>
      </c>
    </row>
    <row r="117" spans="1:2" ht="33.75">
      <c r="A117" s="172" t="s">
        <v>702</v>
      </c>
      <c r="B117" s="174" t="s">
        <v>508</v>
      </c>
    </row>
    <row r="118" spans="1:2" ht="45">
      <c r="A118" s="172" t="s">
        <v>725</v>
      </c>
      <c r="B118" s="174" t="s">
        <v>520</v>
      </c>
    </row>
    <row r="119" spans="1:2" ht="33.75">
      <c r="A119" s="172" t="s">
        <v>891</v>
      </c>
      <c r="B119" s="174" t="s">
        <v>892</v>
      </c>
    </row>
    <row r="120" spans="1:2" ht="78.75">
      <c r="A120" s="172" t="s">
        <v>726</v>
      </c>
      <c r="B120" s="173" t="s">
        <v>521</v>
      </c>
    </row>
    <row r="121" spans="1:2" ht="21">
      <c r="A121" s="170" t="s">
        <v>465</v>
      </c>
      <c r="B121" s="171" t="s">
        <v>595</v>
      </c>
    </row>
    <row r="122" spans="1:2" ht="67.5">
      <c r="A122" s="172" t="s">
        <v>703</v>
      </c>
      <c r="B122" s="173" t="s">
        <v>509</v>
      </c>
    </row>
    <row r="123" spans="1:2" ht="78.75">
      <c r="A123" s="172" t="s">
        <v>704</v>
      </c>
      <c r="B123" s="173" t="s">
        <v>510</v>
      </c>
    </row>
    <row r="124" spans="1:2" ht="67.5">
      <c r="A124" s="172" t="s">
        <v>705</v>
      </c>
      <c r="B124" s="173" t="s">
        <v>566</v>
      </c>
    </row>
    <row r="125" spans="1:2" ht="56.25">
      <c r="A125" s="172" t="s">
        <v>706</v>
      </c>
      <c r="B125" s="173" t="s">
        <v>511</v>
      </c>
    </row>
    <row r="126" spans="1:2" ht="56.25">
      <c r="A126" s="172" t="s">
        <v>707</v>
      </c>
      <c r="B126" s="173" t="s">
        <v>567</v>
      </c>
    </row>
    <row r="127" spans="1:2" ht="56.25">
      <c r="A127" s="172" t="s">
        <v>733</v>
      </c>
      <c r="B127" s="173" t="s">
        <v>526</v>
      </c>
    </row>
    <row r="128" spans="1:2" ht="45">
      <c r="A128" s="172" t="s">
        <v>893</v>
      </c>
      <c r="B128" s="174" t="s">
        <v>894</v>
      </c>
    </row>
    <row r="129" spans="1:2" ht="56.25">
      <c r="A129" s="172" t="s">
        <v>895</v>
      </c>
      <c r="B129" s="173" t="s">
        <v>896</v>
      </c>
    </row>
    <row r="130" spans="1:2" ht="45">
      <c r="A130" s="172" t="s">
        <v>897</v>
      </c>
      <c r="B130" s="174" t="s">
        <v>898</v>
      </c>
    </row>
    <row r="131" spans="1:2" ht="33.75">
      <c r="A131" s="172" t="s">
        <v>899</v>
      </c>
      <c r="B131" s="174" t="s">
        <v>900</v>
      </c>
    </row>
    <row r="132" spans="1:2" ht="67.5">
      <c r="A132" s="172" t="s">
        <v>901</v>
      </c>
      <c r="B132" s="173" t="s">
        <v>524</v>
      </c>
    </row>
    <row r="133" spans="1:2" ht="45">
      <c r="A133" s="172" t="s">
        <v>731</v>
      </c>
      <c r="B133" s="174" t="s">
        <v>512</v>
      </c>
    </row>
    <row r="134" spans="1:2" ht="56.25">
      <c r="A134" s="172" t="s">
        <v>732</v>
      </c>
      <c r="B134" s="173" t="s">
        <v>525</v>
      </c>
    </row>
    <row r="135" spans="1:2">
      <c r="A135" s="170" t="s">
        <v>228</v>
      </c>
      <c r="B135" s="171" t="s">
        <v>466</v>
      </c>
    </row>
    <row r="136" spans="1:2" ht="21">
      <c r="A136" s="170" t="s">
        <v>468</v>
      </c>
      <c r="B136" s="171" t="s">
        <v>467</v>
      </c>
    </row>
    <row r="137" spans="1:2" ht="45">
      <c r="A137" s="172" t="s">
        <v>799</v>
      </c>
      <c r="B137" s="174" t="s">
        <v>436</v>
      </c>
    </row>
    <row r="138" spans="1:2" ht="21">
      <c r="A138" s="170" t="s">
        <v>472</v>
      </c>
      <c r="B138" s="171" t="s">
        <v>471</v>
      </c>
    </row>
    <row r="139" spans="1:2" ht="45">
      <c r="A139" s="172" t="s">
        <v>902</v>
      </c>
      <c r="B139" s="174" t="s">
        <v>903</v>
      </c>
    </row>
    <row r="140" spans="1:2" ht="33.75">
      <c r="A140" s="172" t="s">
        <v>904</v>
      </c>
      <c r="B140" s="174" t="s">
        <v>905</v>
      </c>
    </row>
    <row r="141" spans="1:2" ht="21">
      <c r="A141" s="170" t="s">
        <v>473</v>
      </c>
      <c r="B141" s="171" t="s">
        <v>447</v>
      </c>
    </row>
    <row r="142" spans="1:2" ht="56.25">
      <c r="A142" s="172" t="s">
        <v>685</v>
      </c>
      <c r="B142" s="173" t="s">
        <v>371</v>
      </c>
    </row>
    <row r="143" spans="1:2" ht="78.75">
      <c r="A143" s="172" t="s">
        <v>686</v>
      </c>
      <c r="B143" s="173" t="s">
        <v>372</v>
      </c>
    </row>
    <row r="144" spans="1:2" ht="56.25">
      <c r="A144" s="172" t="s">
        <v>906</v>
      </c>
      <c r="B144" s="173" t="s">
        <v>907</v>
      </c>
    </row>
    <row r="145" spans="1:2" ht="45">
      <c r="A145" s="172" t="s">
        <v>688</v>
      </c>
      <c r="B145" s="174" t="s">
        <v>382</v>
      </c>
    </row>
    <row r="146" spans="1:2" ht="45">
      <c r="A146" s="172" t="s">
        <v>689</v>
      </c>
      <c r="B146" s="174" t="s">
        <v>383</v>
      </c>
    </row>
    <row r="147" spans="1:2" ht="31.5">
      <c r="A147" s="170" t="s">
        <v>31</v>
      </c>
      <c r="B147" s="171" t="s">
        <v>479</v>
      </c>
    </row>
    <row r="148" spans="1:2" ht="21">
      <c r="A148" s="170" t="s">
        <v>481</v>
      </c>
      <c r="B148" s="171" t="s">
        <v>480</v>
      </c>
    </row>
    <row r="149" spans="1:2" ht="67.5">
      <c r="A149" s="172" t="s">
        <v>908</v>
      </c>
      <c r="B149" s="173" t="s">
        <v>909</v>
      </c>
    </row>
    <row r="150" spans="1:2" ht="21">
      <c r="A150" s="170" t="s">
        <v>26</v>
      </c>
      <c r="B150" s="171" t="s">
        <v>483</v>
      </c>
    </row>
    <row r="151" spans="1:2">
      <c r="A151" s="170" t="s">
        <v>485</v>
      </c>
      <c r="B151" s="171" t="s">
        <v>484</v>
      </c>
    </row>
    <row r="152" spans="1:2" ht="56.25">
      <c r="A152" s="172" t="s">
        <v>910</v>
      </c>
      <c r="B152" s="173" t="s">
        <v>911</v>
      </c>
    </row>
    <row r="153" spans="1:2" ht="67.5">
      <c r="A153" s="172" t="s">
        <v>912</v>
      </c>
      <c r="B153" s="173" t="s">
        <v>913</v>
      </c>
    </row>
    <row r="154" spans="1:2" ht="33.75">
      <c r="A154" s="172" t="s">
        <v>671</v>
      </c>
      <c r="B154" s="174" t="s">
        <v>359</v>
      </c>
    </row>
    <row r="155" spans="1:2" ht="21">
      <c r="A155" s="170" t="s">
        <v>489</v>
      </c>
      <c r="B155" s="171" t="s">
        <v>488</v>
      </c>
    </row>
    <row r="156" spans="1:2" ht="33.75">
      <c r="A156" s="172" t="s">
        <v>766</v>
      </c>
      <c r="B156" s="174" t="s">
        <v>407</v>
      </c>
    </row>
    <row r="157" spans="1:2" ht="21">
      <c r="A157" s="170" t="s">
        <v>192</v>
      </c>
      <c r="B157" s="171" t="s">
        <v>596</v>
      </c>
    </row>
    <row r="158" spans="1:2" ht="21">
      <c r="A158" s="170" t="s">
        <v>914</v>
      </c>
      <c r="B158" s="171" t="s">
        <v>915</v>
      </c>
    </row>
    <row r="159" spans="1:2" ht="56.25">
      <c r="A159" s="172" t="s">
        <v>916</v>
      </c>
      <c r="B159" s="173" t="s">
        <v>917</v>
      </c>
    </row>
    <row r="160" spans="1:2" ht="21">
      <c r="A160" s="170" t="s">
        <v>918</v>
      </c>
      <c r="B160" s="171" t="s">
        <v>919</v>
      </c>
    </row>
    <row r="161" spans="1:2" ht="90">
      <c r="A161" s="172" t="s">
        <v>920</v>
      </c>
      <c r="B161" s="173" t="s">
        <v>921</v>
      </c>
    </row>
    <row r="162" spans="1:2" ht="45">
      <c r="A162" s="172" t="s">
        <v>922</v>
      </c>
      <c r="B162" s="174" t="s">
        <v>923</v>
      </c>
    </row>
    <row r="163" spans="1:2" ht="101.25">
      <c r="A163" s="172" t="s">
        <v>924</v>
      </c>
      <c r="B163" s="173" t="s">
        <v>925</v>
      </c>
    </row>
    <row r="164" spans="1:2" ht="21">
      <c r="A164" s="170" t="s">
        <v>490</v>
      </c>
      <c r="B164" s="171" t="s">
        <v>597</v>
      </c>
    </row>
    <row r="165" spans="1:2" ht="45">
      <c r="A165" s="172" t="s">
        <v>736</v>
      </c>
      <c r="B165" s="174" t="s">
        <v>528</v>
      </c>
    </row>
    <row r="166" spans="1:2">
      <c r="A166" s="170" t="s">
        <v>27</v>
      </c>
      <c r="B166" s="171" t="s">
        <v>491</v>
      </c>
    </row>
    <row r="167" spans="1:2" ht="31.5">
      <c r="A167" s="170" t="s">
        <v>342</v>
      </c>
      <c r="B167" s="171" t="s">
        <v>598</v>
      </c>
    </row>
    <row r="168" spans="1:2" ht="90">
      <c r="A168" s="172" t="s">
        <v>926</v>
      </c>
      <c r="B168" s="173" t="s">
        <v>927</v>
      </c>
    </row>
    <row r="169" spans="1:2" ht="67.5">
      <c r="A169" s="172" t="s">
        <v>928</v>
      </c>
      <c r="B169" s="173" t="s">
        <v>929</v>
      </c>
    </row>
    <row r="170" spans="1:2" ht="67.5">
      <c r="A170" s="172" t="s">
        <v>796</v>
      </c>
      <c r="B170" s="173" t="s">
        <v>538</v>
      </c>
    </row>
    <row r="171" spans="1:2" ht="67.5">
      <c r="A171" s="172" t="s">
        <v>794</v>
      </c>
      <c r="B171" s="173" t="s">
        <v>537</v>
      </c>
    </row>
    <row r="172" spans="1:2" ht="56.25">
      <c r="A172" s="172" t="s">
        <v>930</v>
      </c>
      <c r="B172" s="173" t="s">
        <v>931</v>
      </c>
    </row>
    <row r="173" spans="1:2" ht="56.25">
      <c r="A173" s="172" t="s">
        <v>803</v>
      </c>
      <c r="B173" s="173" t="s">
        <v>541</v>
      </c>
    </row>
    <row r="174" spans="1:2">
      <c r="A174" s="170" t="s">
        <v>391</v>
      </c>
      <c r="B174" s="171" t="s">
        <v>492</v>
      </c>
    </row>
    <row r="175" spans="1:2" ht="45">
      <c r="A175" s="172" t="s">
        <v>788</v>
      </c>
      <c r="B175" s="174" t="s">
        <v>425</v>
      </c>
    </row>
    <row r="176" spans="1:2" ht="56.25">
      <c r="A176" s="172" t="s">
        <v>789</v>
      </c>
      <c r="B176" s="173" t="s">
        <v>535</v>
      </c>
    </row>
    <row r="177" spans="1:2" ht="56.25">
      <c r="A177" s="172" t="s">
        <v>790</v>
      </c>
      <c r="B177" s="173" t="s">
        <v>585</v>
      </c>
    </row>
    <row r="178" spans="1:2" ht="45">
      <c r="A178" s="172" t="s">
        <v>932</v>
      </c>
      <c r="B178" s="173" t="s">
        <v>933</v>
      </c>
    </row>
    <row r="179" spans="1:2" ht="33.75">
      <c r="A179" s="172" t="s">
        <v>791</v>
      </c>
      <c r="B179" s="174" t="s">
        <v>586</v>
      </c>
    </row>
    <row r="180" spans="1:2" ht="45">
      <c r="A180" s="172" t="s">
        <v>792</v>
      </c>
      <c r="B180" s="174" t="s">
        <v>536</v>
      </c>
    </row>
    <row r="181" spans="1:2" ht="21">
      <c r="A181" s="170" t="s">
        <v>199</v>
      </c>
      <c r="B181" s="171" t="s">
        <v>493</v>
      </c>
    </row>
    <row r="182" spans="1:2">
      <c r="A182" s="170" t="s">
        <v>324</v>
      </c>
      <c r="B182" s="171" t="s">
        <v>494</v>
      </c>
    </row>
    <row r="183" spans="1:2" ht="67.5">
      <c r="A183" s="172" t="s">
        <v>668</v>
      </c>
      <c r="B183" s="173" t="s">
        <v>353</v>
      </c>
    </row>
    <row r="184" spans="1:2" ht="56.25">
      <c r="A184" s="172" t="s">
        <v>934</v>
      </c>
      <c r="B184" s="173" t="s">
        <v>935</v>
      </c>
    </row>
    <row r="185" spans="1:2">
      <c r="A185" s="170" t="s">
        <v>326</v>
      </c>
      <c r="B185" s="171" t="s">
        <v>495</v>
      </c>
    </row>
    <row r="186" spans="1:2" ht="33.75">
      <c r="A186" s="172" t="s">
        <v>936</v>
      </c>
      <c r="B186" s="174" t="s">
        <v>937</v>
      </c>
    </row>
    <row r="187" spans="1:2" ht="45">
      <c r="A187" s="172" t="s">
        <v>677</v>
      </c>
      <c r="B187" s="173" t="s">
        <v>363</v>
      </c>
    </row>
    <row r="188" spans="1:2" ht="21">
      <c r="A188" s="170" t="s">
        <v>496</v>
      </c>
      <c r="B188" s="171" t="s">
        <v>447</v>
      </c>
    </row>
    <row r="189" spans="1:2" ht="56.25">
      <c r="A189" s="172" t="s">
        <v>669</v>
      </c>
      <c r="B189" s="173" t="s">
        <v>355</v>
      </c>
    </row>
    <row r="190" spans="1:2" ht="21">
      <c r="A190" s="170" t="s">
        <v>810</v>
      </c>
      <c r="B190" s="171" t="s">
        <v>599</v>
      </c>
    </row>
    <row r="191" spans="1:2" ht="31.5">
      <c r="A191" s="170" t="s">
        <v>178</v>
      </c>
      <c r="B191" s="171" t="s">
        <v>323</v>
      </c>
    </row>
    <row r="192" spans="1:2" ht="22.5">
      <c r="A192" s="172" t="s">
        <v>644</v>
      </c>
      <c r="B192" s="174" t="s">
        <v>323</v>
      </c>
    </row>
    <row r="193" spans="1:2" ht="21">
      <c r="A193" s="170" t="s">
        <v>179</v>
      </c>
      <c r="B193" s="171" t="s">
        <v>600</v>
      </c>
    </row>
    <row r="194" spans="1:2" ht="22.5">
      <c r="A194" s="172" t="s">
        <v>638</v>
      </c>
      <c r="B194" s="174" t="s">
        <v>328</v>
      </c>
    </row>
    <row r="195" spans="1:2" ht="45">
      <c r="A195" s="172" t="s">
        <v>648</v>
      </c>
      <c r="B195" s="174" t="s">
        <v>560</v>
      </c>
    </row>
    <row r="196" spans="1:2" ht="33.75">
      <c r="A196" s="172" t="s">
        <v>639</v>
      </c>
      <c r="B196" s="174" t="s">
        <v>558</v>
      </c>
    </row>
    <row r="197" spans="1:2" ht="33.75">
      <c r="A197" s="172" t="s">
        <v>649</v>
      </c>
      <c r="B197" s="174" t="s">
        <v>561</v>
      </c>
    </row>
    <row r="198" spans="1:2" ht="45">
      <c r="A198" s="172" t="s">
        <v>653</v>
      </c>
      <c r="B198" s="174" t="s">
        <v>542</v>
      </c>
    </row>
    <row r="199" spans="1:2" ht="45">
      <c r="A199" s="172" t="s">
        <v>646</v>
      </c>
      <c r="B199" s="174" t="s">
        <v>335</v>
      </c>
    </row>
    <row r="200" spans="1:2" ht="22.5">
      <c r="A200" s="172" t="s">
        <v>654</v>
      </c>
      <c r="B200" s="174" t="s">
        <v>338</v>
      </c>
    </row>
    <row r="201" spans="1:2" ht="33.75">
      <c r="A201" s="172" t="s">
        <v>647</v>
      </c>
      <c r="B201" s="174" t="s">
        <v>336</v>
      </c>
    </row>
    <row r="202" spans="1:2" ht="123.75">
      <c r="A202" s="172" t="s">
        <v>650</v>
      </c>
      <c r="B202" s="173" t="s">
        <v>498</v>
      </c>
    </row>
    <row r="203" spans="1:2" ht="22.5">
      <c r="A203" s="172" t="s">
        <v>938</v>
      </c>
      <c r="B203" s="174" t="s">
        <v>939</v>
      </c>
    </row>
    <row r="204" spans="1:2" ht="31.5">
      <c r="A204" s="170" t="s">
        <v>812</v>
      </c>
      <c r="B204" s="171" t="s">
        <v>332</v>
      </c>
    </row>
    <row r="205" spans="1:2" ht="45">
      <c r="A205" s="172" t="s">
        <v>643</v>
      </c>
      <c r="B205" s="174" t="s">
        <v>559</v>
      </c>
    </row>
    <row r="206" spans="1:2" ht="42">
      <c r="A206" s="170" t="s">
        <v>940</v>
      </c>
      <c r="B206" s="171" t="s">
        <v>941</v>
      </c>
    </row>
    <row r="207" spans="1:2" ht="33.75">
      <c r="A207" s="172" t="s">
        <v>942</v>
      </c>
      <c r="B207" s="174" t="s">
        <v>941</v>
      </c>
    </row>
    <row r="208" spans="1:2" ht="45">
      <c r="A208" s="172" t="s">
        <v>943</v>
      </c>
      <c r="B208" s="174" t="s">
        <v>944</v>
      </c>
    </row>
    <row r="209" spans="1:2">
      <c r="A209" s="170" t="s">
        <v>813</v>
      </c>
      <c r="B209" s="171" t="s">
        <v>601</v>
      </c>
    </row>
    <row r="210" spans="1:2" ht="21">
      <c r="A210" s="170" t="s">
        <v>814</v>
      </c>
      <c r="B210" s="171" t="s">
        <v>427</v>
      </c>
    </row>
    <row r="211" spans="1:2" ht="22.5">
      <c r="A211" s="172" t="s">
        <v>793</v>
      </c>
      <c r="B211" s="174" t="s">
        <v>427</v>
      </c>
    </row>
    <row r="212" spans="1:2" ht="21">
      <c r="A212" s="170" t="s">
        <v>815</v>
      </c>
      <c r="B212" s="171" t="s">
        <v>499</v>
      </c>
    </row>
    <row r="213" spans="1:2" ht="22.5">
      <c r="A213" s="172" t="s">
        <v>652</v>
      </c>
      <c r="B213" s="174" t="s">
        <v>499</v>
      </c>
    </row>
    <row r="214" spans="1:2" ht="42">
      <c r="A214" s="170" t="s">
        <v>816</v>
      </c>
      <c r="B214" s="171" t="s">
        <v>441</v>
      </c>
    </row>
    <row r="215" spans="1:2" ht="33.75">
      <c r="A215" s="172" t="s">
        <v>651</v>
      </c>
      <c r="B215" s="174" t="s">
        <v>441</v>
      </c>
    </row>
    <row r="216" spans="1:2" ht="21">
      <c r="A216" s="170" t="s">
        <v>817</v>
      </c>
      <c r="B216" s="171" t="s">
        <v>390</v>
      </c>
    </row>
    <row r="217" spans="1:2" ht="22.5">
      <c r="A217" s="172" t="s">
        <v>694</v>
      </c>
      <c r="B217" s="174" t="s">
        <v>390</v>
      </c>
    </row>
    <row r="218" spans="1:2" ht="33.75">
      <c r="A218" s="172" t="s">
        <v>695</v>
      </c>
      <c r="B218" s="174" t="s">
        <v>563</v>
      </c>
    </row>
    <row r="219" spans="1:2" ht="21">
      <c r="A219" s="170" t="s">
        <v>819</v>
      </c>
      <c r="B219" s="171" t="s">
        <v>431</v>
      </c>
    </row>
    <row r="220" spans="1:2" ht="22.5">
      <c r="A220" s="172" t="s">
        <v>795</v>
      </c>
      <c r="B220" s="174" t="s">
        <v>431</v>
      </c>
    </row>
    <row r="221" spans="1:2" ht="45">
      <c r="A221" s="176" t="s">
        <v>945</v>
      </c>
      <c r="B221" s="177" t="s">
        <v>946</v>
      </c>
    </row>
    <row r="222" spans="1:2" ht="63.75">
      <c r="A222" s="178" t="s">
        <v>798</v>
      </c>
      <c r="B222" s="179" t="s">
        <v>797</v>
      </c>
    </row>
    <row r="223" spans="1:2" ht="102">
      <c r="A223" s="178" t="s">
        <v>660</v>
      </c>
      <c r="B223" s="180" t="s">
        <v>659</v>
      </c>
    </row>
    <row r="224" spans="1:2" ht="114.75">
      <c r="A224" s="178" t="s">
        <v>664</v>
      </c>
      <c r="B224" s="180" t="s">
        <v>663</v>
      </c>
    </row>
    <row r="225" spans="1:2" ht="127.5">
      <c r="A225" s="178" t="s">
        <v>666</v>
      </c>
      <c r="B225" s="180" t="s">
        <v>665</v>
      </c>
    </row>
    <row r="226" spans="1:2" ht="76.5">
      <c r="A226" s="178" t="s">
        <v>674</v>
      </c>
      <c r="B226" s="180" t="s">
        <v>673</v>
      </c>
    </row>
    <row r="227" spans="1:2" ht="38.25">
      <c r="A227" s="178" t="s">
        <v>640</v>
      </c>
      <c r="B227" s="180" t="s">
        <v>330</v>
      </c>
    </row>
    <row r="228" spans="1:2" ht="38.25">
      <c r="A228" s="178" t="s">
        <v>641</v>
      </c>
      <c r="B228" s="180" t="s">
        <v>330</v>
      </c>
    </row>
    <row r="229" spans="1:2" ht="38.25">
      <c r="A229" s="178" t="s">
        <v>642</v>
      </c>
      <c r="B229" s="180" t="s">
        <v>332</v>
      </c>
    </row>
    <row r="230" spans="1:2" ht="38.25">
      <c r="A230" s="178" t="s">
        <v>655</v>
      </c>
      <c r="B230" s="180" t="s">
        <v>500</v>
      </c>
    </row>
    <row r="231" spans="1:2" ht="38.25">
      <c r="A231" s="178" t="s">
        <v>734</v>
      </c>
      <c r="B231" s="180" t="s">
        <v>527</v>
      </c>
    </row>
    <row r="232" spans="1:2" ht="102">
      <c r="A232" s="178" t="s">
        <v>658</v>
      </c>
      <c r="B232" s="180" t="s">
        <v>346</v>
      </c>
    </row>
    <row r="233" spans="1:2" ht="51">
      <c r="A233" s="178" t="s">
        <v>670</v>
      </c>
      <c r="B233" s="180" t="s">
        <v>357</v>
      </c>
    </row>
    <row r="234" spans="1:2" ht="76.5">
      <c r="A234" s="178" t="s">
        <v>672</v>
      </c>
      <c r="B234" s="180" t="s">
        <v>361</v>
      </c>
    </row>
    <row r="235" spans="1:2" ht="60">
      <c r="A235" s="181" t="s">
        <v>712</v>
      </c>
      <c r="B235" s="182" t="s">
        <v>514</v>
      </c>
    </row>
    <row r="236" spans="1:2" ht="45">
      <c r="A236" s="181" t="s">
        <v>718</v>
      </c>
      <c r="B236" s="182" t="s">
        <v>401</v>
      </c>
    </row>
    <row r="237" spans="1:2" ht="90">
      <c r="A237" s="181" t="s">
        <v>715</v>
      </c>
      <c r="B237" s="183" t="s">
        <v>515</v>
      </c>
    </row>
    <row r="238" spans="1:2" ht="90">
      <c r="A238" s="181" t="s">
        <v>716</v>
      </c>
      <c r="B238" s="183" t="s">
        <v>569</v>
      </c>
    </row>
    <row r="239" spans="1:2" ht="105">
      <c r="A239" s="181" t="s">
        <v>722</v>
      </c>
      <c r="B239" s="183" t="s">
        <v>518</v>
      </c>
    </row>
    <row r="240" spans="1:2" ht="90">
      <c r="A240" s="181" t="s">
        <v>723</v>
      </c>
      <c r="B240" s="183" t="s">
        <v>519</v>
      </c>
    </row>
    <row r="241" spans="1:2" ht="105">
      <c r="A241" s="181" t="s">
        <v>727</v>
      </c>
      <c r="B241" s="183" t="s">
        <v>522</v>
      </c>
    </row>
    <row r="242" spans="1:2" ht="90">
      <c r="A242" s="181" t="s">
        <v>728</v>
      </c>
      <c r="B242" s="183" t="s">
        <v>523</v>
      </c>
    </row>
    <row r="243" spans="1:2" ht="90">
      <c r="A243" s="181" t="s">
        <v>729</v>
      </c>
      <c r="B243" s="183" t="s">
        <v>571</v>
      </c>
    </row>
    <row r="244" spans="1:2" ht="105">
      <c r="A244" s="181" t="s">
        <v>730</v>
      </c>
      <c r="B244" s="183" t="s">
        <v>524</v>
      </c>
    </row>
    <row r="245" spans="1:2" ht="45">
      <c r="A245" s="181" t="s">
        <v>800</v>
      </c>
      <c r="B245" s="182" t="s">
        <v>374</v>
      </c>
    </row>
    <row r="246" spans="1:2" ht="105">
      <c r="A246" s="181" t="s">
        <v>687</v>
      </c>
      <c r="B246" s="183" t="s">
        <v>503</v>
      </c>
    </row>
    <row r="247" spans="1:2" ht="75">
      <c r="A247" s="181" t="s">
        <v>699</v>
      </c>
      <c r="B247" s="183" t="s">
        <v>507</v>
      </c>
    </row>
    <row r="248" spans="1:2" ht="75">
      <c r="A248" s="181" t="s">
        <v>738</v>
      </c>
      <c r="B248" s="183" t="s">
        <v>406</v>
      </c>
    </row>
    <row r="249" spans="1:2" ht="75">
      <c r="A249" s="181" t="s">
        <v>690</v>
      </c>
      <c r="B249" s="183" t="s">
        <v>504</v>
      </c>
    </row>
    <row r="250" spans="1:2" ht="60">
      <c r="A250" s="181" t="s">
        <v>691</v>
      </c>
      <c r="B250" s="182" t="s">
        <v>384</v>
      </c>
    </row>
    <row r="251" spans="1:2" ht="90">
      <c r="A251" s="181" t="s">
        <v>692</v>
      </c>
      <c r="B251" s="183" t="s">
        <v>385</v>
      </c>
    </row>
    <row r="252" spans="1:2" ht="90">
      <c r="A252" s="181" t="s">
        <v>801</v>
      </c>
      <c r="B252" s="183" t="s">
        <v>539</v>
      </c>
    </row>
    <row r="253" spans="1:2" ht="90">
      <c r="A253" s="181" t="s">
        <v>802</v>
      </c>
      <c r="B253" s="183" t="s">
        <v>540</v>
      </c>
    </row>
    <row r="254" spans="1:2" ht="76.5">
      <c r="A254" s="178" t="s">
        <v>675</v>
      </c>
      <c r="B254" s="180" t="s">
        <v>501</v>
      </c>
    </row>
    <row r="255" spans="1:2" ht="63.75">
      <c r="A255" s="178" t="s">
        <v>677</v>
      </c>
      <c r="B255" s="180" t="s">
        <v>363</v>
      </c>
    </row>
    <row r="256" spans="1:2" ht="76.5">
      <c r="A256" s="178" t="s">
        <v>676</v>
      </c>
      <c r="B256" s="180" t="s">
        <v>362</v>
      </c>
    </row>
    <row r="257" spans="1:2" ht="38.25">
      <c r="A257" s="178" t="s">
        <v>735</v>
      </c>
      <c r="B257" s="180" t="s">
        <v>403</v>
      </c>
    </row>
    <row r="258" spans="1:2" ht="38.25">
      <c r="A258" s="178" t="s">
        <v>681</v>
      </c>
      <c r="B258" s="180" t="s">
        <v>680</v>
      </c>
    </row>
    <row r="259" spans="1:2" ht="153">
      <c r="A259" s="178" t="s">
        <v>741</v>
      </c>
      <c r="B259" s="180" t="s">
        <v>740</v>
      </c>
    </row>
    <row r="260" spans="1:2" ht="89.25">
      <c r="A260" s="178" t="s">
        <v>697</v>
      </c>
      <c r="B260" s="180" t="s">
        <v>606</v>
      </c>
    </row>
    <row r="261" spans="1:2" ht="153">
      <c r="A261" s="178" t="s">
        <v>749</v>
      </c>
      <c r="B261" s="180" t="s">
        <v>748</v>
      </c>
    </row>
    <row r="262" spans="1:2" ht="51">
      <c r="A262" s="178" t="s">
        <v>764</v>
      </c>
      <c r="B262" s="180" t="s">
        <v>533</v>
      </c>
    </row>
    <row r="263" spans="1:2" ht="51">
      <c r="A263" s="178" t="s">
        <v>762</v>
      </c>
      <c r="B263" s="180" t="s">
        <v>583</v>
      </c>
    </row>
    <row r="264" spans="1:2" ht="63.75">
      <c r="A264" s="178" t="s">
        <v>774</v>
      </c>
      <c r="B264" s="180" t="s">
        <v>773</v>
      </c>
    </row>
    <row r="265" spans="1:2" ht="63.75">
      <c r="A265" s="178" t="s">
        <v>682</v>
      </c>
      <c r="B265" s="180" t="s">
        <v>368</v>
      </c>
    </row>
    <row r="266" spans="1:2" ht="38.25">
      <c r="A266" s="178" t="s">
        <v>683</v>
      </c>
      <c r="B266" s="180" t="s">
        <v>369</v>
      </c>
    </row>
    <row r="267" spans="1:2" ht="51">
      <c r="A267" s="178" t="s">
        <v>684</v>
      </c>
      <c r="B267" s="180" t="s">
        <v>370</v>
      </c>
    </row>
    <row r="268" spans="1:2" ht="63.75">
      <c r="A268" s="178" t="s">
        <v>784</v>
      </c>
      <c r="B268" s="180" t="s">
        <v>610</v>
      </c>
    </row>
    <row r="269" spans="1:2" ht="76.5">
      <c r="A269" s="178" t="s">
        <v>780</v>
      </c>
      <c r="B269" s="180" t="s">
        <v>611</v>
      </c>
    </row>
    <row r="270" spans="1:2" ht="63.75">
      <c r="A270" s="178" t="s">
        <v>781</v>
      </c>
      <c r="B270" s="180" t="s">
        <v>612</v>
      </c>
    </row>
    <row r="271" spans="1:2" ht="63.75">
      <c r="A271" s="178" t="s">
        <v>782</v>
      </c>
      <c r="B271" s="180" t="s">
        <v>613</v>
      </c>
    </row>
    <row r="272" spans="1:2" ht="76.5">
      <c r="A272" s="178" t="s">
        <v>783</v>
      </c>
      <c r="B272" s="180" t="s">
        <v>614</v>
      </c>
    </row>
    <row r="273" spans="1:2" ht="63.75">
      <c r="A273" s="178" t="s">
        <v>710</v>
      </c>
      <c r="B273" s="180" t="s">
        <v>513</v>
      </c>
    </row>
    <row r="274" spans="1:2" ht="45">
      <c r="A274" s="181" t="s">
        <v>449</v>
      </c>
      <c r="B274" s="182" t="s">
        <v>588</v>
      </c>
    </row>
    <row r="275" spans="1:2" ht="30">
      <c r="A275" s="181" t="s">
        <v>451</v>
      </c>
      <c r="B275" s="182" t="s">
        <v>450</v>
      </c>
    </row>
    <row r="276" spans="1:2" ht="30">
      <c r="A276" s="181" t="s">
        <v>470</v>
      </c>
      <c r="B276" s="182" t="s">
        <v>469</v>
      </c>
    </row>
    <row r="277" spans="1:2" ht="30">
      <c r="A277" s="181" t="s">
        <v>23</v>
      </c>
      <c r="B277" s="182" t="s">
        <v>474</v>
      </c>
    </row>
    <row r="278" spans="1:2" ht="30">
      <c r="A278" s="181" t="s">
        <v>476</v>
      </c>
      <c r="B278" s="182" t="s">
        <v>475</v>
      </c>
    </row>
    <row r="279" spans="1:2" ht="30">
      <c r="A279" s="181" t="s">
        <v>478</v>
      </c>
      <c r="B279" s="182" t="s">
        <v>477</v>
      </c>
    </row>
    <row r="280" spans="1:2" ht="30">
      <c r="A280" s="181" t="s">
        <v>482</v>
      </c>
      <c r="B280" s="182" t="s">
        <v>447</v>
      </c>
    </row>
    <row r="281" spans="1:2" ht="30">
      <c r="A281" s="181" t="s">
        <v>487</v>
      </c>
      <c r="B281" s="182" t="s">
        <v>486</v>
      </c>
    </row>
    <row r="282" spans="1:2" ht="45">
      <c r="A282" s="181" t="s">
        <v>811</v>
      </c>
      <c r="B282" s="182" t="s">
        <v>330</v>
      </c>
    </row>
    <row r="283" spans="1:2" ht="45">
      <c r="A283" s="181" t="s">
        <v>818</v>
      </c>
      <c r="B283" s="182" t="s">
        <v>500</v>
      </c>
    </row>
    <row r="284" spans="1:2" ht="60">
      <c r="A284" s="184" t="s">
        <v>824</v>
      </c>
      <c r="B284" s="185" t="s">
        <v>825</v>
      </c>
    </row>
    <row r="285" spans="1:2" ht="75">
      <c r="A285" s="184" t="s">
        <v>805</v>
      </c>
      <c r="B285" s="186" t="s">
        <v>947</v>
      </c>
    </row>
    <row r="286" spans="1:2" ht="90">
      <c r="A286" s="184" t="s">
        <v>700</v>
      </c>
      <c r="B286" s="186" t="s">
        <v>949</v>
      </c>
    </row>
    <row r="287" spans="1:2" ht="120">
      <c r="A287" s="184" t="s">
        <v>948</v>
      </c>
      <c r="B287" s="186" t="s">
        <v>950</v>
      </c>
    </row>
    <row r="288" spans="1:2">
      <c r="A288" s="184"/>
    </row>
  </sheetData>
  <autoFilter ref="A1:B21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P57"/>
  <sheetViews>
    <sheetView topLeftCell="A2" workbookViewId="0">
      <selection activeCell="P67" sqref="P67"/>
    </sheetView>
  </sheetViews>
  <sheetFormatPr defaultRowHeight="12.75"/>
  <cols>
    <col min="1" max="1" width="3.7109375" customWidth="1"/>
    <col min="2" max="2" width="47.85546875" customWidth="1"/>
    <col min="3" max="3" width="7.7109375" customWidth="1"/>
    <col min="4" max="4" width="6" customWidth="1"/>
    <col min="5" max="5" width="7.7109375" customWidth="1"/>
    <col min="6" max="6" width="6" customWidth="1"/>
    <col min="7" max="7" width="7.7109375" customWidth="1"/>
    <col min="8" max="8" width="6" customWidth="1"/>
  </cols>
  <sheetData>
    <row r="1" spans="1:8" ht="45.75" hidden="1" customHeight="1">
      <c r="A1" s="501" t="str">
        <f>"Приложение №"&amp;Н2Норм&amp;"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501"/>
      <c r="C1" s="501"/>
      <c r="D1" s="501"/>
      <c r="E1" s="501"/>
      <c r="F1" s="501"/>
      <c r="G1" s="501"/>
      <c r="H1" s="501"/>
    </row>
    <row r="2" spans="1:8" ht="54.75" customHeight="1">
      <c r="A2" s="501" t="str">
        <f>"Приложение №"&amp;Н1Норм&amp;" к решению
Богучанского районного Совета депутатов
от "&amp;Р1дата&amp;" года №"&amp;Р1номер</f>
        <v>Приложение № к решению
Богучанского районного Совета депутатов
от  года №</v>
      </c>
      <c r="B2" s="501"/>
      <c r="C2" s="501"/>
      <c r="D2" s="501"/>
      <c r="E2" s="501"/>
      <c r="F2" s="501"/>
      <c r="G2" s="501"/>
      <c r="H2" s="501"/>
    </row>
    <row r="3" spans="1:8" ht="58.5" customHeight="1">
      <c r="A3" s="500" t="str">
        <f>"Нормативы распределения доходов районного бюджета между бюджетами бюджетной системы Российской Федерации на "&amp;год&amp;" год и плановый период "&amp;ПлПер&amp;" годов"</f>
        <v>Нормативы распределения доходов районного бюджета между бюджетами бюджетной системы Российской Федерации на 2022 год и плановый период 2023-2024 годов</v>
      </c>
      <c r="B3" s="500"/>
      <c r="C3" s="500"/>
      <c r="D3" s="500"/>
      <c r="E3" s="500"/>
      <c r="F3" s="500"/>
      <c r="G3" s="500"/>
      <c r="H3" s="500"/>
    </row>
    <row r="4" spans="1:8" ht="14.25" customHeight="1">
      <c r="A4" s="194"/>
      <c r="B4" s="194"/>
      <c r="C4" s="194"/>
      <c r="D4" s="194"/>
      <c r="E4" s="194"/>
      <c r="F4" s="194"/>
      <c r="G4" s="195" t="s">
        <v>1038</v>
      </c>
      <c r="H4" s="194"/>
    </row>
    <row r="5" spans="1:8" ht="25.5">
      <c r="A5" s="201" t="s">
        <v>1018</v>
      </c>
      <c r="B5" s="193" t="s">
        <v>1019</v>
      </c>
      <c r="C5" s="504" t="s">
        <v>555</v>
      </c>
      <c r="D5" s="505"/>
      <c r="E5" s="504" t="s">
        <v>628</v>
      </c>
      <c r="F5" s="505"/>
      <c r="G5" s="504" t="s">
        <v>1065</v>
      </c>
      <c r="H5" s="505"/>
    </row>
    <row r="6" spans="1:8" ht="38.25">
      <c r="A6" s="201"/>
      <c r="B6" s="193"/>
      <c r="C6" s="188" t="s">
        <v>1020</v>
      </c>
      <c r="D6" s="188" t="s">
        <v>1021</v>
      </c>
      <c r="E6" s="188" t="s">
        <v>1020</v>
      </c>
      <c r="F6" s="188" t="s">
        <v>1021</v>
      </c>
      <c r="G6" s="188" t="s">
        <v>1020</v>
      </c>
      <c r="H6" s="188" t="s">
        <v>1021</v>
      </c>
    </row>
    <row r="7" spans="1:8">
      <c r="A7" s="204">
        <v>1</v>
      </c>
      <c r="B7" s="189">
        <v>2</v>
      </c>
      <c r="C7" s="204">
        <v>3</v>
      </c>
      <c r="D7" s="189">
        <v>4</v>
      </c>
      <c r="E7" s="204">
        <v>5</v>
      </c>
      <c r="F7" s="189">
        <v>6</v>
      </c>
      <c r="G7" s="204">
        <v>7</v>
      </c>
      <c r="H7" s="189">
        <v>8</v>
      </c>
    </row>
    <row r="8" spans="1:8" ht="51">
      <c r="A8" s="190">
        <v>1</v>
      </c>
      <c r="B8" s="191" t="s">
        <v>1022</v>
      </c>
      <c r="C8" s="192">
        <v>5</v>
      </c>
      <c r="D8" s="192"/>
      <c r="E8" s="192">
        <v>5</v>
      </c>
      <c r="F8" s="192"/>
      <c r="G8" s="192">
        <v>5</v>
      </c>
      <c r="H8" s="192"/>
    </row>
    <row r="9" spans="1:8" ht="38.25">
      <c r="A9" s="190">
        <v>2</v>
      </c>
      <c r="B9" s="191" t="s">
        <v>1023</v>
      </c>
      <c r="C9" s="192">
        <v>5</v>
      </c>
      <c r="D9" s="192"/>
      <c r="E9" s="192">
        <v>5</v>
      </c>
      <c r="F9" s="192"/>
      <c r="G9" s="192">
        <v>5</v>
      </c>
      <c r="H9" s="192"/>
    </row>
    <row r="10" spans="1:8" ht="63.75">
      <c r="A10" s="190">
        <v>3</v>
      </c>
      <c r="B10" s="191" t="s">
        <v>1024</v>
      </c>
      <c r="C10" s="192">
        <v>20</v>
      </c>
      <c r="D10" s="192">
        <v>10</v>
      </c>
      <c r="E10" s="192">
        <v>20</v>
      </c>
      <c r="F10" s="192">
        <v>10</v>
      </c>
      <c r="G10" s="192">
        <v>20</v>
      </c>
      <c r="H10" s="192">
        <v>10</v>
      </c>
    </row>
    <row r="11" spans="1:8" ht="102">
      <c r="A11" s="190">
        <v>4</v>
      </c>
      <c r="B11" s="191" t="s">
        <v>1025</v>
      </c>
      <c r="C11" s="192">
        <v>20</v>
      </c>
      <c r="D11" s="192">
        <v>10</v>
      </c>
      <c r="E11" s="192">
        <v>20</v>
      </c>
      <c r="F11" s="192">
        <v>10</v>
      </c>
      <c r="G11" s="192">
        <v>20</v>
      </c>
      <c r="H11" s="192">
        <v>10</v>
      </c>
    </row>
    <row r="12" spans="1:8" ht="38.25">
      <c r="A12" s="190">
        <v>5</v>
      </c>
      <c r="B12" s="191" t="s">
        <v>1026</v>
      </c>
      <c r="C12" s="192">
        <v>20</v>
      </c>
      <c r="D12" s="192">
        <v>10</v>
      </c>
      <c r="E12" s="192">
        <v>20</v>
      </c>
      <c r="F12" s="192">
        <v>10</v>
      </c>
      <c r="G12" s="192">
        <v>20</v>
      </c>
      <c r="H12" s="192">
        <v>10</v>
      </c>
    </row>
    <row r="13" spans="1:8" ht="76.5">
      <c r="A13" s="190">
        <v>6</v>
      </c>
      <c r="B13" s="191" t="s">
        <v>1027</v>
      </c>
      <c r="C13" s="192">
        <v>15</v>
      </c>
      <c r="D13" s="192"/>
      <c r="E13" s="192">
        <v>15</v>
      </c>
      <c r="F13" s="192"/>
      <c r="G13" s="192">
        <v>15</v>
      </c>
      <c r="H13" s="192"/>
    </row>
    <row r="14" spans="1:8" ht="51">
      <c r="A14" s="190">
        <v>7</v>
      </c>
      <c r="B14" s="191" t="s">
        <v>1028</v>
      </c>
      <c r="C14" s="502" t="s">
        <v>1069</v>
      </c>
      <c r="D14" s="503"/>
      <c r="E14" s="502" t="s">
        <v>1069</v>
      </c>
      <c r="F14" s="503"/>
      <c r="G14" s="502" t="s">
        <v>1069</v>
      </c>
      <c r="H14" s="503"/>
    </row>
    <row r="15" spans="1:8" ht="76.5">
      <c r="A15" s="190">
        <v>8</v>
      </c>
      <c r="B15" s="191" t="s">
        <v>1029</v>
      </c>
      <c r="C15" s="502" t="s">
        <v>1069</v>
      </c>
      <c r="D15" s="503"/>
      <c r="E15" s="502" t="s">
        <v>1069</v>
      </c>
      <c r="F15" s="503"/>
      <c r="G15" s="502" t="s">
        <v>1069</v>
      </c>
      <c r="H15" s="503"/>
    </row>
    <row r="16" spans="1:8" ht="51">
      <c r="A16" s="190">
        <v>9</v>
      </c>
      <c r="B16" s="191" t="s">
        <v>1030</v>
      </c>
      <c r="C16" s="502" t="s">
        <v>1069</v>
      </c>
      <c r="D16" s="503"/>
      <c r="E16" s="502" t="s">
        <v>1069</v>
      </c>
      <c r="F16" s="503"/>
      <c r="G16" s="502" t="s">
        <v>1069</v>
      </c>
      <c r="H16" s="503"/>
    </row>
    <row r="17" spans="1:8" ht="51">
      <c r="A17" s="190">
        <v>10</v>
      </c>
      <c r="B17" s="191" t="s">
        <v>1031</v>
      </c>
      <c r="C17" s="502" t="s">
        <v>1069</v>
      </c>
      <c r="D17" s="503"/>
      <c r="E17" s="502" t="s">
        <v>1069</v>
      </c>
      <c r="F17" s="503"/>
      <c r="G17" s="502" t="s">
        <v>1069</v>
      </c>
      <c r="H17" s="503"/>
    </row>
    <row r="18" spans="1:8" ht="25.5">
      <c r="A18" s="190">
        <v>11</v>
      </c>
      <c r="B18" s="191" t="s">
        <v>89</v>
      </c>
      <c r="C18" s="192">
        <v>100</v>
      </c>
      <c r="D18" s="192"/>
      <c r="E18" s="192">
        <v>100</v>
      </c>
      <c r="F18" s="192"/>
      <c r="G18" s="192">
        <v>100</v>
      </c>
      <c r="H18" s="192"/>
    </row>
    <row r="19" spans="1:8" ht="25.5">
      <c r="A19" s="190">
        <v>12</v>
      </c>
      <c r="B19" s="191" t="s">
        <v>1032</v>
      </c>
      <c r="C19" s="192">
        <v>30</v>
      </c>
      <c r="D19" s="192">
        <v>30</v>
      </c>
      <c r="E19" s="192">
        <v>30</v>
      </c>
      <c r="F19" s="192">
        <v>30</v>
      </c>
      <c r="G19" s="192">
        <v>30</v>
      </c>
      <c r="H19" s="192">
        <v>30</v>
      </c>
    </row>
    <row r="20" spans="1:8" ht="25.5">
      <c r="A20" s="190">
        <v>13</v>
      </c>
      <c r="B20" s="191" t="s">
        <v>629</v>
      </c>
      <c r="C20" s="192">
        <v>100</v>
      </c>
      <c r="D20" s="192"/>
      <c r="E20" s="192">
        <v>100</v>
      </c>
      <c r="F20" s="192"/>
      <c r="G20" s="192">
        <v>100</v>
      </c>
      <c r="H20" s="192"/>
    </row>
    <row r="21" spans="1:8" ht="25.5">
      <c r="A21" s="190">
        <v>14</v>
      </c>
      <c r="B21" s="191" t="s">
        <v>1039</v>
      </c>
      <c r="C21" s="192">
        <v>100</v>
      </c>
      <c r="D21" s="192"/>
      <c r="E21" s="192">
        <v>100</v>
      </c>
      <c r="F21" s="192"/>
      <c r="G21" s="192">
        <v>100</v>
      </c>
      <c r="H21" s="192"/>
    </row>
    <row r="22" spans="1:8" ht="25.5">
      <c r="A22" s="190">
        <v>15</v>
      </c>
      <c r="B22" s="191" t="s">
        <v>1040</v>
      </c>
      <c r="C22" s="192"/>
      <c r="D22" s="192">
        <v>100</v>
      </c>
      <c r="E22" s="192"/>
      <c r="F22" s="192">
        <v>100</v>
      </c>
      <c r="G22" s="192"/>
      <c r="H22" s="192">
        <v>100</v>
      </c>
    </row>
    <row r="23" spans="1:8" ht="25.5">
      <c r="A23" s="190">
        <v>16</v>
      </c>
      <c r="B23" s="191" t="s">
        <v>1051</v>
      </c>
      <c r="C23" s="192">
        <v>100</v>
      </c>
      <c r="D23" s="192"/>
      <c r="E23" s="192">
        <v>100</v>
      </c>
      <c r="F23" s="192"/>
      <c r="G23" s="192">
        <v>100</v>
      </c>
      <c r="H23" s="192"/>
    </row>
    <row r="24" spans="1:8" ht="25.5">
      <c r="A24" s="190">
        <v>17</v>
      </c>
      <c r="B24" s="191" t="s">
        <v>1052</v>
      </c>
      <c r="C24" s="192">
        <v>100</v>
      </c>
      <c r="D24" s="192"/>
      <c r="E24" s="192">
        <v>100</v>
      </c>
      <c r="F24" s="192"/>
      <c r="G24" s="192">
        <v>100</v>
      </c>
      <c r="H24" s="192"/>
    </row>
    <row r="25" spans="1:8" ht="25.5">
      <c r="A25" s="190">
        <v>18</v>
      </c>
      <c r="B25" s="191" t="s">
        <v>92</v>
      </c>
      <c r="C25" s="192">
        <v>100</v>
      </c>
      <c r="D25" s="192"/>
      <c r="E25" s="192">
        <v>100</v>
      </c>
      <c r="F25" s="192"/>
      <c r="G25" s="192">
        <v>100</v>
      </c>
      <c r="H25" s="192"/>
    </row>
    <row r="26" spans="1:8" ht="38.25">
      <c r="A26" s="190">
        <v>19</v>
      </c>
      <c r="B26" s="191" t="s">
        <v>1041</v>
      </c>
      <c r="C26" s="192"/>
      <c r="D26" s="192">
        <v>100</v>
      </c>
      <c r="E26" s="192"/>
      <c r="F26" s="192">
        <v>100</v>
      </c>
      <c r="G26" s="192"/>
      <c r="H26" s="192">
        <v>100</v>
      </c>
    </row>
    <row r="27" spans="1:8" ht="25.5">
      <c r="A27" s="190">
        <v>20</v>
      </c>
      <c r="B27" s="191" t="s">
        <v>278</v>
      </c>
      <c r="C27" s="192">
        <v>100</v>
      </c>
      <c r="D27" s="192"/>
      <c r="E27" s="192">
        <v>100</v>
      </c>
      <c r="F27" s="192"/>
      <c r="G27" s="192">
        <v>100</v>
      </c>
      <c r="H27" s="192"/>
    </row>
    <row r="28" spans="1:8" ht="38.25">
      <c r="A28" s="190"/>
      <c r="B28" s="191" t="s">
        <v>1042</v>
      </c>
      <c r="C28" s="192"/>
      <c r="D28" s="192"/>
      <c r="E28" s="192"/>
      <c r="F28" s="192"/>
      <c r="G28" s="192"/>
      <c r="H28" s="192"/>
    </row>
    <row r="29" spans="1:8" ht="25.5">
      <c r="A29" s="190">
        <v>21</v>
      </c>
      <c r="B29" s="196" t="s">
        <v>99</v>
      </c>
      <c r="C29" s="192">
        <v>100</v>
      </c>
      <c r="D29" s="192"/>
      <c r="E29" s="192">
        <v>100</v>
      </c>
      <c r="F29" s="192"/>
      <c r="G29" s="192">
        <v>100</v>
      </c>
      <c r="H29" s="192"/>
    </row>
    <row r="30" spans="1:8" ht="89.25">
      <c r="A30" s="190">
        <v>22</v>
      </c>
      <c r="B30" s="197" t="s">
        <v>143</v>
      </c>
      <c r="C30" s="192">
        <v>100</v>
      </c>
      <c r="D30" s="192"/>
      <c r="E30" s="192">
        <v>100</v>
      </c>
      <c r="F30" s="192"/>
      <c r="G30" s="192">
        <v>100</v>
      </c>
      <c r="H30" s="192"/>
    </row>
    <row r="31" spans="1:8" ht="76.5">
      <c r="A31" s="190">
        <v>23</v>
      </c>
      <c r="B31" s="196" t="s">
        <v>214</v>
      </c>
      <c r="C31" s="192">
        <v>100</v>
      </c>
      <c r="D31" s="192"/>
      <c r="E31" s="192">
        <v>100</v>
      </c>
      <c r="F31" s="192"/>
      <c r="G31" s="192">
        <v>100</v>
      </c>
      <c r="H31" s="192"/>
    </row>
    <row r="32" spans="1:8" ht="63.75">
      <c r="A32" s="190">
        <v>24</v>
      </c>
      <c r="B32" s="196" t="s">
        <v>144</v>
      </c>
      <c r="C32" s="192">
        <v>100</v>
      </c>
      <c r="D32" s="192"/>
      <c r="E32" s="192">
        <v>100</v>
      </c>
      <c r="F32" s="192"/>
      <c r="G32" s="192">
        <v>100</v>
      </c>
      <c r="H32" s="192"/>
    </row>
    <row r="33" spans="1:8" ht="63.75">
      <c r="A33" s="190">
        <v>25</v>
      </c>
      <c r="B33" s="196" t="s">
        <v>200</v>
      </c>
      <c r="C33" s="192">
        <v>100</v>
      </c>
      <c r="D33" s="192"/>
      <c r="E33" s="192">
        <v>100</v>
      </c>
      <c r="F33" s="192"/>
      <c r="G33" s="192">
        <v>100</v>
      </c>
      <c r="H33" s="192"/>
    </row>
    <row r="34" spans="1:8" ht="63.75">
      <c r="A34" s="190">
        <v>26</v>
      </c>
      <c r="B34" s="196" t="s">
        <v>1043</v>
      </c>
      <c r="C34" s="192"/>
      <c r="D34" s="192">
        <v>100</v>
      </c>
      <c r="E34" s="192"/>
      <c r="F34" s="192">
        <v>100</v>
      </c>
      <c r="G34" s="192"/>
      <c r="H34" s="192">
        <v>100</v>
      </c>
    </row>
    <row r="35" spans="1:8" ht="51">
      <c r="A35" s="190">
        <v>27</v>
      </c>
      <c r="B35" s="196" t="s">
        <v>10</v>
      </c>
      <c r="C35" s="192">
        <v>100</v>
      </c>
      <c r="D35" s="192"/>
      <c r="E35" s="192">
        <v>100</v>
      </c>
      <c r="F35" s="192"/>
      <c r="G35" s="192">
        <v>100</v>
      </c>
      <c r="H35" s="192"/>
    </row>
    <row r="36" spans="1:8" ht="76.5">
      <c r="A36" s="190">
        <v>28</v>
      </c>
      <c r="B36" s="196" t="s">
        <v>632</v>
      </c>
      <c r="C36" s="192">
        <v>100</v>
      </c>
      <c r="D36" s="192"/>
      <c r="E36" s="192">
        <v>100</v>
      </c>
      <c r="F36" s="192"/>
      <c r="G36" s="192">
        <v>100</v>
      </c>
      <c r="H36" s="192"/>
    </row>
    <row r="37" spans="1:8" ht="25.5">
      <c r="A37" s="190">
        <v>29</v>
      </c>
      <c r="B37" s="191" t="s">
        <v>1033</v>
      </c>
      <c r="C37" s="192">
        <v>55</v>
      </c>
      <c r="D37" s="192"/>
      <c r="E37" s="192">
        <v>55</v>
      </c>
      <c r="F37" s="192"/>
      <c r="G37" s="192">
        <v>55</v>
      </c>
      <c r="H37" s="192"/>
    </row>
    <row r="38" spans="1:8" ht="25.5">
      <c r="A38" s="190">
        <v>30</v>
      </c>
      <c r="B38" s="191" t="s">
        <v>1034</v>
      </c>
      <c r="C38" s="192">
        <v>55</v>
      </c>
      <c r="D38" s="192"/>
      <c r="E38" s="192">
        <v>55</v>
      </c>
      <c r="F38" s="192"/>
      <c r="G38" s="192">
        <v>55</v>
      </c>
      <c r="H38" s="192"/>
    </row>
    <row r="39" spans="1:8" ht="25.5">
      <c r="A39" s="190">
        <v>31</v>
      </c>
      <c r="B39" s="191" t="s">
        <v>1035</v>
      </c>
      <c r="C39" s="192">
        <v>55</v>
      </c>
      <c r="D39" s="192"/>
      <c r="E39" s="192">
        <v>55</v>
      </c>
      <c r="F39" s="192"/>
      <c r="G39" s="192">
        <v>55</v>
      </c>
      <c r="H39" s="192"/>
    </row>
    <row r="40" spans="1:8" ht="25.5">
      <c r="A40" s="190">
        <v>32</v>
      </c>
      <c r="B40" s="191" t="s">
        <v>635</v>
      </c>
      <c r="C40" s="192">
        <v>55</v>
      </c>
      <c r="D40" s="192"/>
      <c r="E40" s="192">
        <v>55</v>
      </c>
      <c r="F40" s="192"/>
      <c r="G40" s="192">
        <v>55</v>
      </c>
      <c r="H40" s="192"/>
    </row>
    <row r="41" spans="1:8" ht="25.5">
      <c r="A41" s="190">
        <v>33</v>
      </c>
      <c r="B41" s="191" t="s">
        <v>1036</v>
      </c>
      <c r="C41" s="192">
        <v>55</v>
      </c>
      <c r="D41" s="192"/>
      <c r="E41" s="192">
        <v>55</v>
      </c>
      <c r="F41" s="192"/>
      <c r="G41" s="192">
        <v>55</v>
      </c>
      <c r="H41" s="192"/>
    </row>
    <row r="42" spans="1:8" ht="38.25">
      <c r="A42" s="190">
        <v>34</v>
      </c>
      <c r="B42" s="191" t="s">
        <v>1037</v>
      </c>
      <c r="C42" s="192">
        <v>55</v>
      </c>
      <c r="D42" s="192"/>
      <c r="E42" s="192">
        <v>55</v>
      </c>
      <c r="F42" s="192"/>
      <c r="G42" s="192">
        <v>55</v>
      </c>
      <c r="H42" s="192"/>
    </row>
    <row r="43" spans="1:8" ht="38.25">
      <c r="A43" s="190">
        <v>35</v>
      </c>
      <c r="B43" s="191" t="s">
        <v>244</v>
      </c>
      <c r="C43" s="192">
        <v>100</v>
      </c>
      <c r="D43" s="192"/>
      <c r="E43" s="192">
        <v>100</v>
      </c>
      <c r="F43" s="192"/>
      <c r="G43" s="192">
        <v>100</v>
      </c>
      <c r="H43" s="192"/>
    </row>
    <row r="44" spans="1:8" ht="38.25">
      <c r="A44" s="190">
        <v>36</v>
      </c>
      <c r="B44" s="191" t="s">
        <v>544</v>
      </c>
      <c r="C44" s="192">
        <v>100</v>
      </c>
      <c r="D44" s="192"/>
      <c r="E44" s="192">
        <v>100</v>
      </c>
      <c r="F44" s="192"/>
      <c r="G44" s="192">
        <v>100</v>
      </c>
      <c r="H44" s="192"/>
    </row>
    <row r="45" spans="1:8">
      <c r="A45" s="190">
        <v>37</v>
      </c>
      <c r="B45" s="191" t="s">
        <v>296</v>
      </c>
      <c r="C45" s="192">
        <v>100</v>
      </c>
      <c r="D45" s="192"/>
      <c r="E45" s="192">
        <v>100</v>
      </c>
      <c r="F45" s="192"/>
      <c r="G45" s="192">
        <v>100</v>
      </c>
      <c r="H45" s="192"/>
    </row>
    <row r="46" spans="1:8" ht="51">
      <c r="A46" s="190">
        <v>38</v>
      </c>
      <c r="B46" s="191" t="s">
        <v>74</v>
      </c>
      <c r="C46" s="192">
        <v>100</v>
      </c>
      <c r="D46" s="192"/>
      <c r="E46" s="192">
        <v>100</v>
      </c>
      <c r="F46" s="192"/>
      <c r="G46" s="192">
        <v>100</v>
      </c>
      <c r="H46" s="192"/>
    </row>
    <row r="47" spans="1:8" ht="51">
      <c r="A47" s="190">
        <v>39</v>
      </c>
      <c r="B47" s="191" t="s">
        <v>123</v>
      </c>
      <c r="C47" s="192">
        <v>100</v>
      </c>
      <c r="D47" s="192"/>
      <c r="E47" s="192">
        <v>100</v>
      </c>
      <c r="F47" s="192"/>
      <c r="G47" s="192">
        <v>100</v>
      </c>
      <c r="H47" s="192"/>
    </row>
    <row r="48" spans="1:8" ht="51">
      <c r="A48" s="190">
        <v>40</v>
      </c>
      <c r="B48" s="191" t="s">
        <v>1049</v>
      </c>
      <c r="C48" s="192">
        <v>100</v>
      </c>
      <c r="D48" s="192"/>
      <c r="E48" s="192">
        <v>100</v>
      </c>
      <c r="F48" s="192"/>
      <c r="G48" s="192">
        <v>100</v>
      </c>
      <c r="H48" s="192"/>
    </row>
    <row r="49" spans="1:16" ht="51">
      <c r="A49" s="190">
        <v>41</v>
      </c>
      <c r="B49" s="191" t="s">
        <v>1050</v>
      </c>
      <c r="C49" s="192"/>
      <c r="D49" s="192">
        <v>100</v>
      </c>
      <c r="E49" s="192"/>
      <c r="F49" s="192">
        <v>100</v>
      </c>
      <c r="G49" s="192"/>
      <c r="H49" s="192">
        <v>100</v>
      </c>
    </row>
    <row r="50" spans="1:16" ht="25.5">
      <c r="A50" s="190">
        <v>42</v>
      </c>
      <c r="B50" s="196" t="s">
        <v>318</v>
      </c>
      <c r="C50" s="199">
        <v>100</v>
      </c>
      <c r="D50" s="198"/>
      <c r="E50" s="199">
        <v>100</v>
      </c>
      <c r="F50" s="198"/>
      <c r="G50" s="199">
        <v>100</v>
      </c>
      <c r="H50" s="198"/>
    </row>
    <row r="51" spans="1:16" ht="25.5">
      <c r="A51" s="190">
        <v>43</v>
      </c>
      <c r="B51" s="200" t="s">
        <v>1044</v>
      </c>
      <c r="C51" s="199">
        <v>100</v>
      </c>
      <c r="D51" s="198"/>
      <c r="E51" s="199">
        <v>100</v>
      </c>
      <c r="F51" s="198"/>
      <c r="G51" s="199">
        <v>100</v>
      </c>
      <c r="H51" s="198"/>
    </row>
    <row r="52" spans="1:16">
      <c r="A52" s="190">
        <v>44</v>
      </c>
      <c r="B52" s="200" t="s">
        <v>1045</v>
      </c>
      <c r="C52" s="198"/>
      <c r="D52" s="202">
        <v>100</v>
      </c>
      <c r="E52" s="202"/>
      <c r="F52" s="202">
        <v>100</v>
      </c>
      <c r="G52" s="202"/>
      <c r="H52" s="202">
        <v>100</v>
      </c>
    </row>
    <row r="55" spans="1:16" ht="12.75" customHeight="1">
      <c r="A55" s="499" t="s">
        <v>1046</v>
      </c>
      <c r="B55" s="499"/>
      <c r="C55" s="499"/>
      <c r="D55" s="499"/>
      <c r="E55" s="499"/>
      <c r="F55" s="499"/>
      <c r="G55" s="499"/>
      <c r="H55" s="499"/>
      <c r="I55" s="203"/>
      <c r="J55" s="203"/>
      <c r="K55" s="203"/>
      <c r="L55" s="203"/>
      <c r="M55" s="203"/>
      <c r="N55" s="203"/>
      <c r="O55" s="203"/>
      <c r="P55" s="203"/>
    </row>
    <row r="56" spans="1:16">
      <c r="B56" s="154" t="s">
        <v>1048</v>
      </c>
    </row>
    <row r="57" spans="1:16">
      <c r="B57" s="154" t="s">
        <v>1047</v>
      </c>
    </row>
  </sheetData>
  <mergeCells count="19">
    <mergeCell ref="A1:H1"/>
    <mergeCell ref="C16:D16"/>
    <mergeCell ref="E16:F16"/>
    <mergeCell ref="A55:H55"/>
    <mergeCell ref="A3:H3"/>
    <mergeCell ref="A2:H2"/>
    <mergeCell ref="C17:D17"/>
    <mergeCell ref="E17:F17"/>
    <mergeCell ref="G17:H17"/>
    <mergeCell ref="G16:H16"/>
    <mergeCell ref="C14:D14"/>
    <mergeCell ref="E14:F14"/>
    <mergeCell ref="G14:H14"/>
    <mergeCell ref="C15:D15"/>
    <mergeCell ref="E15:F15"/>
    <mergeCell ref="G15:H15"/>
    <mergeCell ref="C5:D5"/>
    <mergeCell ref="E5:F5"/>
    <mergeCell ref="G5:H5"/>
  </mergeCells>
  <pageMargins left="0.54" right="0.1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1:O310"/>
  <sheetViews>
    <sheetView zoomScaleNormal="100" workbookViewId="0">
      <selection activeCell="N14" sqref="N14"/>
    </sheetView>
  </sheetViews>
  <sheetFormatPr defaultRowHeight="12.75"/>
  <cols>
    <col min="1" max="1" width="64.7109375" style="106" customWidth="1"/>
    <col min="2" max="2" width="4.42578125" style="106" customWidth="1"/>
    <col min="3" max="3" width="2.28515625" style="106" customWidth="1"/>
    <col min="4" max="4" width="3.42578125" style="106" customWidth="1"/>
    <col min="5" max="5" width="6.5703125" style="106" customWidth="1"/>
    <col min="6" max="6" width="3.42578125" style="106" bestFit="1" customWidth="1"/>
    <col min="7" max="7" width="6.7109375" style="106" customWidth="1"/>
    <col min="8" max="8" width="6.140625" style="283" customWidth="1"/>
    <col min="9" max="9" width="17.5703125" style="106" customWidth="1"/>
    <col min="10" max="11" width="17.42578125" style="106" customWidth="1"/>
    <col min="12" max="12" width="19.85546875" style="106" customWidth="1"/>
    <col min="13" max="13" width="18.42578125" style="106" customWidth="1"/>
    <col min="14" max="14" width="17.140625" style="106" customWidth="1"/>
    <col min="15" max="15" width="18.28515625" style="106" customWidth="1"/>
    <col min="16" max="16384" width="9.140625" style="106"/>
  </cols>
  <sheetData>
    <row r="1" spans="1:15" ht="56.25" customHeight="1">
      <c r="A1" s="501" t="str">
        <f>"Приложение "&amp;Н1дох&amp;" к решению
Богучанского районного Совета депутатов
от "&amp;Р1дата&amp;" года №"&amp;Р1номер</f>
        <v>Приложение 2 к решению
Богучанского районного Совета депутатов
от  года №</v>
      </c>
      <c r="B1" s="501"/>
      <c r="C1" s="501"/>
      <c r="D1" s="501"/>
      <c r="E1" s="501"/>
      <c r="F1" s="501"/>
      <c r="G1" s="501"/>
      <c r="H1" s="501"/>
      <c r="I1" s="501"/>
      <c r="J1" s="501"/>
      <c r="K1" s="501"/>
    </row>
    <row r="2" spans="1:15" ht="18">
      <c r="A2" s="507" t="str">
        <f>"Доходы районного бюджета по кодам классификации доходов бюджетов за "&amp;год&amp;" год "</f>
        <v xml:space="preserve">Доходы районного бюджета по кодам классификации доходов бюджетов за 2022 год </v>
      </c>
      <c r="B2" s="507"/>
      <c r="C2" s="507"/>
      <c r="D2" s="507"/>
      <c r="E2" s="507"/>
      <c r="F2" s="507"/>
      <c r="G2" s="507"/>
      <c r="H2" s="507"/>
      <c r="I2" s="507"/>
      <c r="J2" s="507"/>
      <c r="K2" s="507"/>
    </row>
    <row r="3" spans="1:15">
      <c r="J3" s="107"/>
      <c r="K3" s="107" t="s">
        <v>69</v>
      </c>
    </row>
    <row r="4" spans="1:15" ht="3" customHeight="1">
      <c r="A4" s="508" t="s">
        <v>1465</v>
      </c>
      <c r="B4" s="510" t="s">
        <v>1466</v>
      </c>
      <c r="C4" s="510"/>
      <c r="D4" s="510"/>
      <c r="E4" s="510"/>
      <c r="F4" s="510"/>
      <c r="G4" s="510"/>
      <c r="H4" s="510"/>
      <c r="I4" s="506" t="s">
        <v>2264</v>
      </c>
      <c r="J4" s="506" t="s">
        <v>2265</v>
      </c>
      <c r="K4" s="506" t="s">
        <v>2263</v>
      </c>
    </row>
    <row r="5" spans="1:15" ht="6" customHeight="1">
      <c r="A5" s="508"/>
      <c r="B5" s="510"/>
      <c r="C5" s="510"/>
      <c r="D5" s="510"/>
      <c r="E5" s="510"/>
      <c r="F5" s="510"/>
      <c r="G5" s="510"/>
      <c r="H5" s="510"/>
      <c r="I5" s="506"/>
      <c r="J5" s="506"/>
      <c r="K5" s="506"/>
    </row>
    <row r="6" spans="1:15" ht="160.5" customHeight="1">
      <c r="A6" s="509"/>
      <c r="B6" s="274" t="s">
        <v>1458</v>
      </c>
      <c r="C6" s="274" t="s">
        <v>1459</v>
      </c>
      <c r="D6" s="274" t="s">
        <v>1460</v>
      </c>
      <c r="E6" s="274" t="s">
        <v>1461</v>
      </c>
      <c r="F6" s="274" t="s">
        <v>1462</v>
      </c>
      <c r="G6" s="274" t="s">
        <v>1463</v>
      </c>
      <c r="H6" s="274" t="s">
        <v>1464</v>
      </c>
      <c r="I6" s="506"/>
      <c r="J6" s="506"/>
      <c r="K6" s="506"/>
      <c r="L6" s="108"/>
      <c r="M6" s="109"/>
    </row>
    <row r="7" spans="1:15">
      <c r="A7" s="144">
        <v>1</v>
      </c>
      <c r="B7" s="145" t="s">
        <v>171</v>
      </c>
      <c r="C7" s="145" t="s">
        <v>267</v>
      </c>
      <c r="D7" s="145" t="s">
        <v>268</v>
      </c>
      <c r="E7" s="146" t="s">
        <v>269</v>
      </c>
      <c r="F7" s="145" t="s">
        <v>270</v>
      </c>
      <c r="G7" s="145" t="s">
        <v>271</v>
      </c>
      <c r="H7" s="146" t="s">
        <v>24</v>
      </c>
      <c r="I7" s="147" t="s">
        <v>192</v>
      </c>
      <c r="J7" s="147" t="s">
        <v>27</v>
      </c>
      <c r="K7" s="147" t="s">
        <v>199</v>
      </c>
      <c r="L7" s="110"/>
    </row>
    <row r="8" spans="1:15">
      <c r="A8" s="7" t="s">
        <v>33</v>
      </c>
      <c r="B8" s="376" t="s">
        <v>162</v>
      </c>
      <c r="C8" s="148" t="s">
        <v>126</v>
      </c>
      <c r="D8" s="148" t="s">
        <v>127</v>
      </c>
      <c r="E8" s="148" t="s">
        <v>128</v>
      </c>
      <c r="F8" s="148" t="s">
        <v>127</v>
      </c>
      <c r="G8" s="148" t="s">
        <v>129</v>
      </c>
      <c r="H8" s="148" t="s">
        <v>162</v>
      </c>
      <c r="I8" s="140">
        <f>I9+I19+I29+I45+I53+I57+I78+I86+I103+I110+I176</f>
        <v>670302383</v>
      </c>
      <c r="J8" s="140">
        <f>J9+J19+J29+J45+J53+J57+J78+J86+J103+J110+J176</f>
        <v>648227128.49999976</v>
      </c>
      <c r="K8" s="140">
        <f>J8/I8*100</f>
        <v>96.706672233328433</v>
      </c>
      <c r="M8" s="110"/>
      <c r="N8" s="110"/>
      <c r="O8" s="110"/>
    </row>
    <row r="9" spans="1:15">
      <c r="A9" s="7" t="s">
        <v>34</v>
      </c>
      <c r="B9" s="376" t="s">
        <v>130</v>
      </c>
      <c r="C9" s="148" t="s">
        <v>126</v>
      </c>
      <c r="D9" s="148" t="s">
        <v>131</v>
      </c>
      <c r="E9" s="148" t="s">
        <v>128</v>
      </c>
      <c r="F9" s="148" t="s">
        <v>127</v>
      </c>
      <c r="G9" s="148" t="s">
        <v>129</v>
      </c>
      <c r="H9" s="148" t="s">
        <v>162</v>
      </c>
      <c r="I9" s="140">
        <f t="shared" ref="I9:J9" si="0">I10+I13</f>
        <v>380883614.22999996</v>
      </c>
      <c r="J9" s="140">
        <f t="shared" si="0"/>
        <v>361286664.42000002</v>
      </c>
      <c r="K9" s="140">
        <f t="shared" ref="K9:K72" si="1">J9/I9*100</f>
        <v>94.854871914188948</v>
      </c>
    </row>
    <row r="10" spans="1:15">
      <c r="A10" s="7" t="s">
        <v>1089</v>
      </c>
      <c r="B10" s="376" t="s">
        <v>130</v>
      </c>
      <c r="C10" s="148" t="s">
        <v>126</v>
      </c>
      <c r="D10" s="148" t="s">
        <v>131</v>
      </c>
      <c r="E10" s="148" t="s">
        <v>132</v>
      </c>
      <c r="F10" s="148" t="s">
        <v>127</v>
      </c>
      <c r="G10" s="148" t="s">
        <v>129</v>
      </c>
      <c r="H10" s="148" t="s">
        <v>133</v>
      </c>
      <c r="I10" s="140">
        <f t="shared" ref="I10:J11" si="2">I11</f>
        <v>26903000</v>
      </c>
      <c r="J10" s="140">
        <f t="shared" si="2"/>
        <v>-7080189.5499999998</v>
      </c>
      <c r="K10" s="140">
        <f t="shared" si="1"/>
        <v>-26.317472214994609</v>
      </c>
    </row>
    <row r="11" spans="1:15" ht="25.5">
      <c r="A11" s="7" t="s">
        <v>220</v>
      </c>
      <c r="B11" s="376" t="s">
        <v>130</v>
      </c>
      <c r="C11" s="148" t="s">
        <v>126</v>
      </c>
      <c r="D11" s="148" t="s">
        <v>131</v>
      </c>
      <c r="E11" s="148" t="s">
        <v>221</v>
      </c>
      <c r="F11" s="148" t="s">
        <v>127</v>
      </c>
      <c r="G11" s="148" t="s">
        <v>129</v>
      </c>
      <c r="H11" s="148" t="s">
        <v>133</v>
      </c>
      <c r="I11" s="140">
        <f t="shared" si="2"/>
        <v>26903000</v>
      </c>
      <c r="J11" s="140">
        <f t="shared" si="2"/>
        <v>-7080189.5499999998</v>
      </c>
      <c r="K11" s="140">
        <f t="shared" si="1"/>
        <v>-26.317472214994609</v>
      </c>
    </row>
    <row r="12" spans="1:15" ht="38.25">
      <c r="A12" s="7" t="s">
        <v>1082</v>
      </c>
      <c r="B12" s="376" t="s">
        <v>130</v>
      </c>
      <c r="C12" s="148" t="s">
        <v>126</v>
      </c>
      <c r="D12" s="148" t="s">
        <v>131</v>
      </c>
      <c r="E12" s="148" t="s">
        <v>222</v>
      </c>
      <c r="F12" s="148" t="s">
        <v>223</v>
      </c>
      <c r="G12" s="148" t="s">
        <v>129</v>
      </c>
      <c r="H12" s="148" t="s">
        <v>133</v>
      </c>
      <c r="I12" s="139">
        <v>26903000</v>
      </c>
      <c r="J12" s="139">
        <v>-7080189.5499999998</v>
      </c>
      <c r="K12" s="140">
        <f t="shared" si="1"/>
        <v>-26.317472214994609</v>
      </c>
    </row>
    <row r="13" spans="1:15">
      <c r="A13" s="7" t="s">
        <v>1090</v>
      </c>
      <c r="B13" s="376" t="s">
        <v>130</v>
      </c>
      <c r="C13" s="148" t="s">
        <v>126</v>
      </c>
      <c r="D13" s="148" t="s">
        <v>131</v>
      </c>
      <c r="E13" s="148" t="s">
        <v>224</v>
      </c>
      <c r="F13" s="148" t="s">
        <v>131</v>
      </c>
      <c r="G13" s="148" t="s">
        <v>129</v>
      </c>
      <c r="H13" s="148" t="s">
        <v>133</v>
      </c>
      <c r="I13" s="139">
        <f t="shared" ref="I13:J13" si="3">I14+I15+I16+I17+I18</f>
        <v>353980614.22999996</v>
      </c>
      <c r="J13" s="139">
        <f t="shared" si="3"/>
        <v>368366853.97000003</v>
      </c>
      <c r="K13" s="140">
        <f t="shared" si="1"/>
        <v>104.06413209132764</v>
      </c>
    </row>
    <row r="14" spans="1:15" ht="63.75">
      <c r="A14" s="229" t="s">
        <v>1083</v>
      </c>
      <c r="B14" s="376" t="s">
        <v>130</v>
      </c>
      <c r="C14" s="148" t="s">
        <v>126</v>
      </c>
      <c r="D14" s="148" t="s">
        <v>131</v>
      </c>
      <c r="E14" s="148" t="s">
        <v>225</v>
      </c>
      <c r="F14" s="148" t="s">
        <v>131</v>
      </c>
      <c r="G14" s="148" t="s">
        <v>129</v>
      </c>
      <c r="H14" s="148" t="s">
        <v>133</v>
      </c>
      <c r="I14" s="139">
        <f>363660000-21980379.8-50000+500000-90005.97</f>
        <v>342039614.22999996</v>
      </c>
      <c r="J14" s="139">
        <v>356162190.63999999</v>
      </c>
      <c r="K14" s="140">
        <f t="shared" si="1"/>
        <v>104.12893004858306</v>
      </c>
    </row>
    <row r="15" spans="1:15" ht="76.5">
      <c r="A15" s="149" t="s">
        <v>261</v>
      </c>
      <c r="B15" s="376" t="s">
        <v>130</v>
      </c>
      <c r="C15" s="148" t="s">
        <v>126</v>
      </c>
      <c r="D15" s="148" t="s">
        <v>131</v>
      </c>
      <c r="E15" s="148" t="s">
        <v>226</v>
      </c>
      <c r="F15" s="148" t="s">
        <v>131</v>
      </c>
      <c r="G15" s="148" t="s">
        <v>129</v>
      </c>
      <c r="H15" s="148" t="s">
        <v>133</v>
      </c>
      <c r="I15" s="139">
        <f>719000-340000</f>
        <v>379000</v>
      </c>
      <c r="J15" s="139">
        <v>419336.73</v>
      </c>
      <c r="K15" s="140">
        <f t="shared" si="1"/>
        <v>110.64293667546174</v>
      </c>
    </row>
    <row r="16" spans="1:15" ht="25.5">
      <c r="A16" s="149" t="s">
        <v>262</v>
      </c>
      <c r="B16" s="376" t="s">
        <v>130</v>
      </c>
      <c r="C16" s="148" t="s">
        <v>126</v>
      </c>
      <c r="D16" s="148" t="s">
        <v>131</v>
      </c>
      <c r="E16" s="148" t="s">
        <v>260</v>
      </c>
      <c r="F16" s="148" t="s">
        <v>131</v>
      </c>
      <c r="G16" s="148" t="s">
        <v>129</v>
      </c>
      <c r="H16" s="148" t="s">
        <v>133</v>
      </c>
      <c r="I16" s="139">
        <f>1026000+160000+50000+50000</f>
        <v>1286000</v>
      </c>
      <c r="J16" s="139">
        <v>1375335.08</v>
      </c>
      <c r="K16" s="140">
        <f t="shared" si="1"/>
        <v>106.9467402799378</v>
      </c>
    </row>
    <row r="17" spans="1:11" ht="63.75">
      <c r="A17" s="149" t="s">
        <v>1084</v>
      </c>
      <c r="B17" s="376" t="s">
        <v>130</v>
      </c>
      <c r="C17" s="148" t="s">
        <v>126</v>
      </c>
      <c r="D17" s="148" t="s">
        <v>131</v>
      </c>
      <c r="E17" s="148" t="s">
        <v>621</v>
      </c>
      <c r="F17" s="148" t="s">
        <v>131</v>
      </c>
      <c r="G17" s="148" t="s">
        <v>129</v>
      </c>
      <c r="H17" s="148" t="s">
        <v>133</v>
      </c>
      <c r="I17" s="139">
        <f>8497000+800000</f>
        <v>9297000</v>
      </c>
      <c r="J17" s="139">
        <v>9416030.1600000001</v>
      </c>
      <c r="K17" s="140">
        <f t="shared" si="1"/>
        <v>101.28030719586964</v>
      </c>
    </row>
    <row r="18" spans="1:11" ht="38.25">
      <c r="A18" s="149" t="s">
        <v>1858</v>
      </c>
      <c r="B18" s="376" t="s">
        <v>130</v>
      </c>
      <c r="C18" s="148" t="s">
        <v>126</v>
      </c>
      <c r="D18" s="148" t="s">
        <v>131</v>
      </c>
      <c r="E18" s="148" t="s">
        <v>1671</v>
      </c>
      <c r="F18" s="148" t="s">
        <v>131</v>
      </c>
      <c r="G18" s="148" t="s">
        <v>129</v>
      </c>
      <c r="H18" s="148" t="s">
        <v>133</v>
      </c>
      <c r="I18" s="139">
        <f>149000+760000+70000</f>
        <v>979000</v>
      </c>
      <c r="J18" s="139">
        <v>993961.36</v>
      </c>
      <c r="K18" s="140">
        <f t="shared" si="1"/>
        <v>101.52822880490295</v>
      </c>
    </row>
    <row r="19" spans="1:11" ht="25.5">
      <c r="A19" s="149" t="s">
        <v>1091</v>
      </c>
      <c r="B19" s="376" t="s">
        <v>162</v>
      </c>
      <c r="C19" s="148" t="s">
        <v>126</v>
      </c>
      <c r="D19" s="148" t="s">
        <v>235</v>
      </c>
      <c r="E19" s="148" t="s">
        <v>128</v>
      </c>
      <c r="F19" s="148" t="s">
        <v>127</v>
      </c>
      <c r="G19" s="148" t="s">
        <v>129</v>
      </c>
      <c r="H19" s="148" t="s">
        <v>162</v>
      </c>
      <c r="I19" s="140">
        <f t="shared" ref="I19:J19" si="4">I20</f>
        <v>75900</v>
      </c>
      <c r="J19" s="140">
        <f t="shared" si="4"/>
        <v>87642.28</v>
      </c>
      <c r="K19" s="140">
        <f t="shared" si="1"/>
        <v>115.47072463768116</v>
      </c>
    </row>
    <row r="20" spans="1:11" ht="25.5">
      <c r="A20" s="149" t="s">
        <v>272</v>
      </c>
      <c r="B20" s="376" t="s">
        <v>162</v>
      </c>
      <c r="C20" s="148" t="s">
        <v>126</v>
      </c>
      <c r="D20" s="148" t="s">
        <v>235</v>
      </c>
      <c r="E20" s="148" t="s">
        <v>224</v>
      </c>
      <c r="F20" s="148" t="s">
        <v>131</v>
      </c>
      <c r="G20" s="148" t="s">
        <v>129</v>
      </c>
      <c r="H20" s="148" t="s">
        <v>133</v>
      </c>
      <c r="I20" s="140">
        <f>I21+I23+I25+I27</f>
        <v>75900</v>
      </c>
      <c r="J20" s="140">
        <f t="shared" ref="J20" si="5">J21+J23+J25+J27</f>
        <v>87642.28</v>
      </c>
      <c r="K20" s="140">
        <f t="shared" si="1"/>
        <v>115.47072463768116</v>
      </c>
    </row>
    <row r="21" spans="1:11" ht="51">
      <c r="A21" s="149" t="s">
        <v>274</v>
      </c>
      <c r="B21" s="376" t="s">
        <v>273</v>
      </c>
      <c r="C21" s="148" t="s">
        <v>126</v>
      </c>
      <c r="D21" s="148" t="s">
        <v>235</v>
      </c>
      <c r="E21" s="148" t="s">
        <v>1886</v>
      </c>
      <c r="F21" s="148" t="s">
        <v>131</v>
      </c>
      <c r="G21" s="148" t="s">
        <v>129</v>
      </c>
      <c r="H21" s="148" t="s">
        <v>133</v>
      </c>
      <c r="I21" s="140">
        <f>I22</f>
        <v>34300</v>
      </c>
      <c r="J21" s="140">
        <f t="shared" ref="J21" si="6">J22</f>
        <v>43935.69</v>
      </c>
      <c r="K21" s="140">
        <f t="shared" si="1"/>
        <v>128.09239067055393</v>
      </c>
    </row>
    <row r="22" spans="1:11" ht="89.25">
      <c r="A22" s="149" t="s">
        <v>1887</v>
      </c>
      <c r="B22" s="376" t="s">
        <v>273</v>
      </c>
      <c r="C22" s="148" t="s">
        <v>126</v>
      </c>
      <c r="D22" s="148" t="s">
        <v>235</v>
      </c>
      <c r="E22" s="148" t="s">
        <v>1760</v>
      </c>
      <c r="F22" s="148" t="s">
        <v>131</v>
      </c>
      <c r="G22" s="148" t="s">
        <v>129</v>
      </c>
      <c r="H22" s="148" t="s">
        <v>133</v>
      </c>
      <c r="I22" s="139">
        <v>34300</v>
      </c>
      <c r="J22" s="139">
        <v>43935.69</v>
      </c>
      <c r="K22" s="140">
        <f t="shared" si="1"/>
        <v>128.09239067055393</v>
      </c>
    </row>
    <row r="23" spans="1:11" ht="63.75">
      <c r="A23" s="149" t="s">
        <v>275</v>
      </c>
      <c r="B23" s="376" t="s">
        <v>273</v>
      </c>
      <c r="C23" s="148" t="s">
        <v>126</v>
      </c>
      <c r="D23" s="148" t="s">
        <v>235</v>
      </c>
      <c r="E23" s="148" t="s">
        <v>1888</v>
      </c>
      <c r="F23" s="148" t="s">
        <v>131</v>
      </c>
      <c r="G23" s="148" t="s">
        <v>129</v>
      </c>
      <c r="H23" s="148" t="s">
        <v>133</v>
      </c>
      <c r="I23" s="139">
        <f>I24</f>
        <v>200</v>
      </c>
      <c r="J23" s="139">
        <f t="shared" ref="J23" si="7">J24</f>
        <v>237.33</v>
      </c>
      <c r="K23" s="140">
        <f t="shared" si="1"/>
        <v>118.66499999999999</v>
      </c>
    </row>
    <row r="24" spans="1:11" ht="102">
      <c r="A24" s="149" t="s">
        <v>1889</v>
      </c>
      <c r="B24" s="376" t="s">
        <v>273</v>
      </c>
      <c r="C24" s="148" t="s">
        <v>126</v>
      </c>
      <c r="D24" s="148" t="s">
        <v>235</v>
      </c>
      <c r="E24" s="148" t="s">
        <v>1761</v>
      </c>
      <c r="F24" s="148" t="s">
        <v>131</v>
      </c>
      <c r="G24" s="148" t="s">
        <v>129</v>
      </c>
      <c r="H24" s="148" t="s">
        <v>133</v>
      </c>
      <c r="I24" s="139">
        <v>200</v>
      </c>
      <c r="J24" s="139">
        <v>237.33</v>
      </c>
      <c r="K24" s="140">
        <f t="shared" si="1"/>
        <v>118.66499999999999</v>
      </c>
    </row>
    <row r="25" spans="1:11" ht="51">
      <c r="A25" s="149" t="s">
        <v>1890</v>
      </c>
      <c r="B25" s="376" t="s">
        <v>273</v>
      </c>
      <c r="C25" s="148" t="s">
        <v>126</v>
      </c>
      <c r="D25" s="148" t="s">
        <v>235</v>
      </c>
      <c r="E25" s="148" t="s">
        <v>1891</v>
      </c>
      <c r="F25" s="148" t="s">
        <v>131</v>
      </c>
      <c r="G25" s="148" t="s">
        <v>129</v>
      </c>
      <c r="H25" s="148" t="s">
        <v>133</v>
      </c>
      <c r="I25" s="139">
        <f>I26</f>
        <v>45700</v>
      </c>
      <c r="J25" s="139">
        <f t="shared" ref="J25" si="8">J26</f>
        <v>48509.95</v>
      </c>
      <c r="K25" s="140">
        <f t="shared" si="1"/>
        <v>106.14868708971552</v>
      </c>
    </row>
    <row r="26" spans="1:11" ht="89.25">
      <c r="A26" s="149" t="s">
        <v>1892</v>
      </c>
      <c r="B26" s="376" t="s">
        <v>273</v>
      </c>
      <c r="C26" s="148" t="s">
        <v>126</v>
      </c>
      <c r="D26" s="148" t="s">
        <v>235</v>
      </c>
      <c r="E26" s="148" t="s">
        <v>1762</v>
      </c>
      <c r="F26" s="148" t="s">
        <v>131</v>
      </c>
      <c r="G26" s="148" t="s">
        <v>129</v>
      </c>
      <c r="H26" s="148" t="s">
        <v>133</v>
      </c>
      <c r="I26" s="139">
        <v>45700</v>
      </c>
      <c r="J26" s="139">
        <v>48509.95</v>
      </c>
      <c r="K26" s="140">
        <f t="shared" si="1"/>
        <v>106.14868708971552</v>
      </c>
    </row>
    <row r="27" spans="1:11" ht="51">
      <c r="A27" s="7" t="s">
        <v>1893</v>
      </c>
      <c r="B27" s="376" t="s">
        <v>273</v>
      </c>
      <c r="C27" s="148" t="s">
        <v>126</v>
      </c>
      <c r="D27" s="148" t="s">
        <v>235</v>
      </c>
      <c r="E27" s="148" t="s">
        <v>1894</v>
      </c>
      <c r="F27" s="148" t="s">
        <v>131</v>
      </c>
      <c r="G27" s="148" t="s">
        <v>129</v>
      </c>
      <c r="H27" s="148" t="s">
        <v>133</v>
      </c>
      <c r="I27" s="139">
        <f>I28</f>
        <v>-4300</v>
      </c>
      <c r="J27" s="139">
        <f t="shared" ref="J27" si="9">J28</f>
        <v>-5040.6899999999996</v>
      </c>
      <c r="K27" s="140">
        <f t="shared" si="1"/>
        <v>117.2253488372093</v>
      </c>
    </row>
    <row r="28" spans="1:11" ht="89.25">
      <c r="A28" s="256" t="s">
        <v>1895</v>
      </c>
      <c r="B28" s="376" t="s">
        <v>273</v>
      </c>
      <c r="C28" s="148" t="s">
        <v>126</v>
      </c>
      <c r="D28" s="148" t="s">
        <v>235</v>
      </c>
      <c r="E28" s="148" t="s">
        <v>1763</v>
      </c>
      <c r="F28" s="148" t="s">
        <v>131</v>
      </c>
      <c r="G28" s="148" t="s">
        <v>129</v>
      </c>
      <c r="H28" s="148" t="s">
        <v>133</v>
      </c>
      <c r="I28" s="139">
        <v>-4300</v>
      </c>
      <c r="J28" s="139">
        <v>-5040.6899999999996</v>
      </c>
      <c r="K28" s="140">
        <f t="shared" si="1"/>
        <v>117.2253488372093</v>
      </c>
    </row>
    <row r="29" spans="1:11">
      <c r="A29" s="7" t="s">
        <v>88</v>
      </c>
      <c r="B29" s="376" t="s">
        <v>130</v>
      </c>
      <c r="C29" s="148" t="s">
        <v>126</v>
      </c>
      <c r="D29" s="148" t="s">
        <v>227</v>
      </c>
      <c r="E29" s="148" t="s">
        <v>128</v>
      </c>
      <c r="F29" s="148" t="s">
        <v>127</v>
      </c>
      <c r="G29" s="148" t="s">
        <v>129</v>
      </c>
      <c r="H29" s="148" t="s">
        <v>162</v>
      </c>
      <c r="I29" s="140">
        <f>I38+I41+I43+I30</f>
        <v>168835300.98999998</v>
      </c>
      <c r="J29" s="140">
        <f>J38+J41+J43+J30</f>
        <v>168483035.64999998</v>
      </c>
      <c r="K29" s="140">
        <f t="shared" si="1"/>
        <v>99.791355635975165</v>
      </c>
    </row>
    <row r="30" spans="1:11" ht="25.5">
      <c r="A30" s="308" t="s">
        <v>1379</v>
      </c>
      <c r="B30" s="376" t="s">
        <v>130</v>
      </c>
      <c r="C30" s="148" t="s">
        <v>126</v>
      </c>
      <c r="D30" s="148" t="s">
        <v>227</v>
      </c>
      <c r="E30" s="148" t="s">
        <v>132</v>
      </c>
      <c r="F30" s="148" t="s">
        <v>127</v>
      </c>
      <c r="G30" s="148" t="s">
        <v>129</v>
      </c>
      <c r="H30" s="148" t="s">
        <v>133</v>
      </c>
      <c r="I30" s="140">
        <f>I31+I34+I37</f>
        <v>152829401.50999999</v>
      </c>
      <c r="J30" s="140">
        <f>J31+J34+J37</f>
        <v>149769325.10999998</v>
      </c>
      <c r="K30" s="140">
        <f t="shared" si="1"/>
        <v>97.99771747467075</v>
      </c>
    </row>
    <row r="31" spans="1:11" ht="25.5">
      <c r="A31" s="7" t="s">
        <v>1380</v>
      </c>
      <c r="B31" s="376" t="s">
        <v>130</v>
      </c>
      <c r="C31" s="148" t="s">
        <v>126</v>
      </c>
      <c r="D31" s="148" t="s">
        <v>227</v>
      </c>
      <c r="E31" s="148" t="s">
        <v>221</v>
      </c>
      <c r="F31" s="148" t="s">
        <v>131</v>
      </c>
      <c r="G31" s="148" t="s">
        <v>129</v>
      </c>
      <c r="H31" s="148" t="s">
        <v>133</v>
      </c>
      <c r="I31" s="140">
        <f>I32+I33</f>
        <v>127446197.95999999</v>
      </c>
      <c r="J31" s="140">
        <f>J32+J33</f>
        <v>125057157.72999999</v>
      </c>
      <c r="K31" s="140">
        <f t="shared" si="1"/>
        <v>98.125451941100806</v>
      </c>
    </row>
    <row r="32" spans="1:11" ht="25.5">
      <c r="A32" s="7" t="s">
        <v>1380</v>
      </c>
      <c r="B32" s="376" t="s">
        <v>130</v>
      </c>
      <c r="C32" s="148" t="s">
        <v>126</v>
      </c>
      <c r="D32" s="148" t="s">
        <v>227</v>
      </c>
      <c r="E32" s="150" t="s">
        <v>1381</v>
      </c>
      <c r="F32" s="148" t="s">
        <v>131</v>
      </c>
      <c r="G32" s="148" t="s">
        <v>129</v>
      </c>
      <c r="H32" s="148" t="s">
        <v>133</v>
      </c>
      <c r="I32" s="140">
        <f>121446100+6000000</f>
        <v>127446100</v>
      </c>
      <c r="J32" s="140">
        <v>125057059.77</v>
      </c>
      <c r="K32" s="140">
        <f t="shared" si="1"/>
        <v>98.125450500250693</v>
      </c>
    </row>
    <row r="33" spans="1:11" ht="38.25">
      <c r="A33" s="7" t="s">
        <v>2239</v>
      </c>
      <c r="B33" s="376" t="s">
        <v>130</v>
      </c>
      <c r="C33" s="148" t="s">
        <v>126</v>
      </c>
      <c r="D33" s="148" t="s">
        <v>227</v>
      </c>
      <c r="E33" s="150" t="s">
        <v>222</v>
      </c>
      <c r="F33" s="148" t="s">
        <v>131</v>
      </c>
      <c r="G33" s="148" t="s">
        <v>129</v>
      </c>
      <c r="H33" s="148" t="s">
        <v>133</v>
      </c>
      <c r="I33" s="140">
        <v>97.96</v>
      </c>
      <c r="J33" s="140">
        <v>97.96</v>
      </c>
      <c r="K33" s="140">
        <f t="shared" si="1"/>
        <v>100</v>
      </c>
    </row>
    <row r="34" spans="1:11" ht="38.25">
      <c r="A34" s="7" t="s">
        <v>1382</v>
      </c>
      <c r="B34" s="376" t="s">
        <v>130</v>
      </c>
      <c r="C34" s="148" t="s">
        <v>126</v>
      </c>
      <c r="D34" s="148" t="s">
        <v>227</v>
      </c>
      <c r="E34" s="150" t="s">
        <v>1383</v>
      </c>
      <c r="F34" s="148" t="s">
        <v>131</v>
      </c>
      <c r="G34" s="148" t="s">
        <v>129</v>
      </c>
      <c r="H34" s="148" t="s">
        <v>133</v>
      </c>
      <c r="I34" s="140">
        <f>I35+I36</f>
        <v>25384499.870000001</v>
      </c>
      <c r="J34" s="140">
        <f>J35+J36</f>
        <v>24713463.699999999</v>
      </c>
      <c r="K34" s="140">
        <f t="shared" si="1"/>
        <v>97.356512149396153</v>
      </c>
    </row>
    <row r="35" spans="1:11" ht="51">
      <c r="A35" s="7" t="s">
        <v>1384</v>
      </c>
      <c r="B35" s="376" t="s">
        <v>130</v>
      </c>
      <c r="C35" s="148" t="s">
        <v>126</v>
      </c>
      <c r="D35" s="148" t="s">
        <v>227</v>
      </c>
      <c r="E35" s="150" t="s">
        <v>1872</v>
      </c>
      <c r="F35" s="148" t="s">
        <v>131</v>
      </c>
      <c r="G35" s="148" t="s">
        <v>129</v>
      </c>
      <c r="H35" s="148" t="s">
        <v>133</v>
      </c>
      <c r="I35" s="140">
        <f>17384500+8000000</f>
        <v>25384500</v>
      </c>
      <c r="J35" s="140">
        <v>24713463.829999998</v>
      </c>
      <c r="K35" s="140">
        <f t="shared" si="1"/>
        <v>97.356512162934067</v>
      </c>
    </row>
    <row r="36" spans="1:11" ht="38.25">
      <c r="A36" s="7" t="s">
        <v>2240</v>
      </c>
      <c r="B36" s="376" t="s">
        <v>130</v>
      </c>
      <c r="C36" s="148" t="s">
        <v>126</v>
      </c>
      <c r="D36" s="148" t="s">
        <v>227</v>
      </c>
      <c r="E36" s="150" t="s">
        <v>2241</v>
      </c>
      <c r="F36" s="148" t="s">
        <v>131</v>
      </c>
      <c r="G36" s="148" t="s">
        <v>129</v>
      </c>
      <c r="H36" s="148" t="s">
        <v>133</v>
      </c>
      <c r="I36" s="140">
        <v>-0.13</v>
      </c>
      <c r="J36" s="140">
        <v>-0.13</v>
      </c>
      <c r="K36" s="140">
        <f t="shared" si="1"/>
        <v>100</v>
      </c>
    </row>
    <row r="37" spans="1:11" ht="25.5">
      <c r="A37" s="7" t="s">
        <v>2242</v>
      </c>
      <c r="B37" s="376" t="s">
        <v>130</v>
      </c>
      <c r="C37" s="148" t="s">
        <v>126</v>
      </c>
      <c r="D37" s="148" t="s">
        <v>227</v>
      </c>
      <c r="E37" s="150" t="s">
        <v>1673</v>
      </c>
      <c r="F37" s="148" t="s">
        <v>131</v>
      </c>
      <c r="G37" s="148" t="s">
        <v>129</v>
      </c>
      <c r="H37" s="148" t="s">
        <v>133</v>
      </c>
      <c r="I37" s="140">
        <v>-1296.32</v>
      </c>
      <c r="J37" s="140">
        <v>-1296.32</v>
      </c>
      <c r="K37" s="140">
        <f t="shared" si="1"/>
        <v>100</v>
      </c>
    </row>
    <row r="38" spans="1:11">
      <c r="A38" s="7" t="s">
        <v>89</v>
      </c>
      <c r="B38" s="376" t="s">
        <v>130</v>
      </c>
      <c r="C38" s="148" t="s">
        <v>126</v>
      </c>
      <c r="D38" s="148" t="s">
        <v>227</v>
      </c>
      <c r="E38" s="150" t="s">
        <v>224</v>
      </c>
      <c r="F38" s="148" t="s">
        <v>223</v>
      </c>
      <c r="G38" s="148" t="s">
        <v>129</v>
      </c>
      <c r="H38" s="148" t="s">
        <v>133</v>
      </c>
      <c r="I38" s="140">
        <f>SUM(I39:I40)</f>
        <v>376039.62</v>
      </c>
      <c r="J38" s="140">
        <f>SUM(J39:J40)</f>
        <v>765282.99</v>
      </c>
      <c r="K38" s="140">
        <f t="shared" si="1"/>
        <v>203.51126564801868</v>
      </c>
    </row>
    <row r="39" spans="1:11">
      <c r="A39" s="7" t="s">
        <v>89</v>
      </c>
      <c r="B39" s="376" t="s">
        <v>130</v>
      </c>
      <c r="C39" s="148" t="s">
        <v>126</v>
      </c>
      <c r="D39" s="148" t="s">
        <v>227</v>
      </c>
      <c r="E39" s="150" t="s">
        <v>225</v>
      </c>
      <c r="F39" s="148" t="s">
        <v>223</v>
      </c>
      <c r="G39" s="148" t="s">
        <v>129</v>
      </c>
      <c r="H39" s="148" t="s">
        <v>133</v>
      </c>
      <c r="I39" s="139">
        <f>526000-150000</f>
        <v>376000</v>
      </c>
      <c r="J39" s="139">
        <v>765243.37</v>
      </c>
      <c r="K39" s="140">
        <f t="shared" si="1"/>
        <v>203.52217287234043</v>
      </c>
    </row>
    <row r="40" spans="1:11" ht="25.5">
      <c r="A40" s="7" t="s">
        <v>2243</v>
      </c>
      <c r="B40" s="376" t="s">
        <v>130</v>
      </c>
      <c r="C40" s="148" t="s">
        <v>126</v>
      </c>
      <c r="D40" s="148" t="s">
        <v>227</v>
      </c>
      <c r="E40" s="150" t="s">
        <v>226</v>
      </c>
      <c r="F40" s="148" t="s">
        <v>223</v>
      </c>
      <c r="G40" s="148" t="s">
        <v>129</v>
      </c>
      <c r="H40" s="148" t="s">
        <v>133</v>
      </c>
      <c r="I40" s="139">
        <v>39.619999999999997</v>
      </c>
      <c r="J40" s="139">
        <v>39.619999999999997</v>
      </c>
      <c r="K40" s="140">
        <f t="shared" si="1"/>
        <v>100</v>
      </c>
    </row>
    <row r="41" spans="1:11">
      <c r="A41" s="7" t="s">
        <v>19</v>
      </c>
      <c r="B41" s="376" t="s">
        <v>130</v>
      </c>
      <c r="C41" s="148" t="s">
        <v>126</v>
      </c>
      <c r="D41" s="148" t="s">
        <v>227</v>
      </c>
      <c r="E41" s="150" t="s">
        <v>32</v>
      </c>
      <c r="F41" s="148" t="s">
        <v>131</v>
      </c>
      <c r="G41" s="148" t="s">
        <v>129</v>
      </c>
      <c r="H41" s="148" t="s">
        <v>133</v>
      </c>
      <c r="I41" s="140">
        <f>I42</f>
        <v>9859.86</v>
      </c>
      <c r="J41" s="140">
        <f t="shared" ref="J41" si="10">J42</f>
        <v>9859.86</v>
      </c>
      <c r="K41" s="140">
        <f t="shared" si="1"/>
        <v>100</v>
      </c>
    </row>
    <row r="42" spans="1:11">
      <c r="A42" s="7" t="s">
        <v>19</v>
      </c>
      <c r="B42" s="376" t="s">
        <v>130</v>
      </c>
      <c r="C42" s="148" t="s">
        <v>126</v>
      </c>
      <c r="D42" s="148" t="s">
        <v>227</v>
      </c>
      <c r="E42" s="150" t="s">
        <v>205</v>
      </c>
      <c r="F42" s="148" t="s">
        <v>131</v>
      </c>
      <c r="G42" s="148" t="s">
        <v>129</v>
      </c>
      <c r="H42" s="148" t="s">
        <v>133</v>
      </c>
      <c r="I42" s="139">
        <f>7000+2859.86</f>
        <v>9859.86</v>
      </c>
      <c r="J42" s="139">
        <v>9859.86</v>
      </c>
      <c r="K42" s="140">
        <f t="shared" si="1"/>
        <v>100</v>
      </c>
    </row>
    <row r="43" spans="1:11" ht="25.5">
      <c r="A43" s="7" t="s">
        <v>629</v>
      </c>
      <c r="B43" s="376" t="s">
        <v>130</v>
      </c>
      <c r="C43" s="148" t="s">
        <v>126</v>
      </c>
      <c r="D43" s="148" t="s">
        <v>227</v>
      </c>
      <c r="E43" s="148" t="s">
        <v>22</v>
      </c>
      <c r="F43" s="148" t="s">
        <v>223</v>
      </c>
      <c r="G43" s="148" t="s">
        <v>129</v>
      </c>
      <c r="H43" s="148" t="s">
        <v>133</v>
      </c>
      <c r="I43" s="140">
        <f t="shared" ref="I43:J43" si="11">I44</f>
        <v>15620000</v>
      </c>
      <c r="J43" s="140">
        <f t="shared" si="11"/>
        <v>17938567.690000001</v>
      </c>
      <c r="K43" s="140">
        <f t="shared" si="1"/>
        <v>114.84358316261205</v>
      </c>
    </row>
    <row r="44" spans="1:11" ht="25.5">
      <c r="A44" s="7" t="s">
        <v>276</v>
      </c>
      <c r="B44" s="376" t="s">
        <v>130</v>
      </c>
      <c r="C44" s="148" t="s">
        <v>126</v>
      </c>
      <c r="D44" s="148" t="s">
        <v>227</v>
      </c>
      <c r="E44" s="148" t="s">
        <v>277</v>
      </c>
      <c r="F44" s="148" t="s">
        <v>223</v>
      </c>
      <c r="G44" s="148" t="s">
        <v>129</v>
      </c>
      <c r="H44" s="148" t="s">
        <v>133</v>
      </c>
      <c r="I44" s="139">
        <v>15620000</v>
      </c>
      <c r="J44" s="139">
        <v>17938567.690000001</v>
      </c>
      <c r="K44" s="140">
        <f t="shared" si="1"/>
        <v>114.84358316261205</v>
      </c>
    </row>
    <row r="45" spans="1:11">
      <c r="A45" s="7" t="s">
        <v>90</v>
      </c>
      <c r="B45" s="376" t="s">
        <v>130</v>
      </c>
      <c r="C45" s="148" t="s">
        <v>126</v>
      </c>
      <c r="D45" s="148" t="s">
        <v>228</v>
      </c>
      <c r="E45" s="148" t="s">
        <v>128</v>
      </c>
      <c r="F45" s="148" t="s">
        <v>127</v>
      </c>
      <c r="G45" s="148" t="s">
        <v>129</v>
      </c>
      <c r="H45" s="148" t="s">
        <v>162</v>
      </c>
      <c r="I45" s="140">
        <f t="shared" ref="I45:J45" si="12">I48+I46</f>
        <v>1276900</v>
      </c>
      <c r="J45" s="140">
        <f t="shared" si="12"/>
        <v>1125594.1199999999</v>
      </c>
      <c r="K45" s="140">
        <f t="shared" si="1"/>
        <v>88.150530190304636</v>
      </c>
    </row>
    <row r="46" spans="1:11">
      <c r="A46" s="7" t="s">
        <v>240</v>
      </c>
      <c r="B46" s="376" t="s">
        <v>130</v>
      </c>
      <c r="C46" s="148" t="s">
        <v>126</v>
      </c>
      <c r="D46" s="148" t="s">
        <v>228</v>
      </c>
      <c r="E46" s="148" t="s">
        <v>132</v>
      </c>
      <c r="F46" s="148" t="s">
        <v>127</v>
      </c>
      <c r="G46" s="148" t="s">
        <v>129</v>
      </c>
      <c r="H46" s="148" t="s">
        <v>133</v>
      </c>
      <c r="I46" s="140">
        <f t="shared" ref="I46:J46" si="13">I47</f>
        <v>8000</v>
      </c>
      <c r="J46" s="140">
        <f t="shared" si="13"/>
        <v>10267</v>
      </c>
      <c r="K46" s="140">
        <f t="shared" si="1"/>
        <v>128.33750000000001</v>
      </c>
    </row>
    <row r="47" spans="1:11" ht="38.25">
      <c r="A47" s="7" t="s">
        <v>241</v>
      </c>
      <c r="B47" s="376" t="s">
        <v>130</v>
      </c>
      <c r="C47" s="148" t="s">
        <v>126</v>
      </c>
      <c r="D47" s="148" t="s">
        <v>228</v>
      </c>
      <c r="E47" s="148" t="s">
        <v>242</v>
      </c>
      <c r="F47" s="148" t="s">
        <v>227</v>
      </c>
      <c r="G47" s="148" t="s">
        <v>129</v>
      </c>
      <c r="H47" s="148" t="s">
        <v>133</v>
      </c>
      <c r="I47" s="139">
        <v>8000</v>
      </c>
      <c r="J47" s="139">
        <v>10267</v>
      </c>
      <c r="K47" s="140">
        <f t="shared" si="1"/>
        <v>128.33750000000001</v>
      </c>
    </row>
    <row r="48" spans="1:11">
      <c r="A48" s="7" t="s">
        <v>91</v>
      </c>
      <c r="B48" s="376" t="s">
        <v>130</v>
      </c>
      <c r="C48" s="148" t="s">
        <v>126</v>
      </c>
      <c r="D48" s="148" t="s">
        <v>228</v>
      </c>
      <c r="E48" s="150" t="s">
        <v>229</v>
      </c>
      <c r="F48" s="148" t="s">
        <v>127</v>
      </c>
      <c r="G48" s="148" t="s">
        <v>129</v>
      </c>
      <c r="H48" s="148" t="s">
        <v>133</v>
      </c>
      <c r="I48" s="140">
        <f>I49+I51</f>
        <v>1268900</v>
      </c>
      <c r="J48" s="140">
        <f t="shared" ref="J48" si="14">J49+J51</f>
        <v>1115327.1199999999</v>
      </c>
      <c r="K48" s="140">
        <f t="shared" si="1"/>
        <v>87.897164473165716</v>
      </c>
    </row>
    <row r="49" spans="1:11">
      <c r="A49" s="151" t="s">
        <v>1085</v>
      </c>
      <c r="B49" s="376" t="s">
        <v>130</v>
      </c>
      <c r="C49" s="148" t="s">
        <v>126</v>
      </c>
      <c r="D49" s="148" t="s">
        <v>228</v>
      </c>
      <c r="E49" s="150" t="s">
        <v>1086</v>
      </c>
      <c r="F49" s="148" t="s">
        <v>127</v>
      </c>
      <c r="G49" s="148" t="s">
        <v>129</v>
      </c>
      <c r="H49" s="148" t="s">
        <v>133</v>
      </c>
      <c r="I49" s="140">
        <f t="shared" ref="I49:J49" si="15">I50</f>
        <v>1258900</v>
      </c>
      <c r="J49" s="140">
        <f t="shared" si="15"/>
        <v>1220746.45</v>
      </c>
      <c r="K49" s="140">
        <f t="shared" si="1"/>
        <v>96.969294622289297</v>
      </c>
    </row>
    <row r="50" spans="1:11" ht="25.5">
      <c r="A50" s="151" t="s">
        <v>617</v>
      </c>
      <c r="B50" s="376" t="s">
        <v>130</v>
      </c>
      <c r="C50" s="148" t="s">
        <v>126</v>
      </c>
      <c r="D50" s="148" t="s">
        <v>228</v>
      </c>
      <c r="E50" s="150" t="s">
        <v>618</v>
      </c>
      <c r="F50" s="148" t="s">
        <v>227</v>
      </c>
      <c r="G50" s="148" t="s">
        <v>129</v>
      </c>
      <c r="H50" s="148" t="s">
        <v>133</v>
      </c>
      <c r="I50" s="139">
        <f>1758900-500000</f>
        <v>1258900</v>
      </c>
      <c r="J50" s="139">
        <v>1220746.45</v>
      </c>
      <c r="K50" s="140">
        <f t="shared" si="1"/>
        <v>96.969294622289297</v>
      </c>
    </row>
    <row r="51" spans="1:11">
      <c r="A51" s="151" t="s">
        <v>1087</v>
      </c>
      <c r="B51" s="376" t="s">
        <v>130</v>
      </c>
      <c r="C51" s="148" t="s">
        <v>126</v>
      </c>
      <c r="D51" s="148" t="s">
        <v>228</v>
      </c>
      <c r="E51" s="150" t="s">
        <v>1088</v>
      </c>
      <c r="F51" s="148" t="s">
        <v>127</v>
      </c>
      <c r="G51" s="148" t="s">
        <v>129</v>
      </c>
      <c r="H51" s="148" t="s">
        <v>133</v>
      </c>
      <c r="I51" s="140">
        <f t="shared" ref="I51:J51" si="16">I52</f>
        <v>10000</v>
      </c>
      <c r="J51" s="140">
        <f t="shared" si="16"/>
        <v>-105419.33</v>
      </c>
      <c r="K51" s="140">
        <f t="shared" si="1"/>
        <v>-1054.1932999999999</v>
      </c>
    </row>
    <row r="52" spans="1:11" ht="38.25">
      <c r="A52" s="7" t="s">
        <v>620</v>
      </c>
      <c r="B52" s="376" t="s">
        <v>130</v>
      </c>
      <c r="C52" s="148" t="s">
        <v>126</v>
      </c>
      <c r="D52" s="148" t="s">
        <v>228</v>
      </c>
      <c r="E52" s="150" t="s">
        <v>619</v>
      </c>
      <c r="F52" s="148" t="s">
        <v>227</v>
      </c>
      <c r="G52" s="148" t="s">
        <v>129</v>
      </c>
      <c r="H52" s="148" t="s">
        <v>133</v>
      </c>
      <c r="I52" s="139">
        <v>10000</v>
      </c>
      <c r="J52" s="139">
        <v>-105419.33</v>
      </c>
      <c r="K52" s="140">
        <f t="shared" si="1"/>
        <v>-1054.1932999999999</v>
      </c>
    </row>
    <row r="53" spans="1:11">
      <c r="A53" s="7" t="s">
        <v>20</v>
      </c>
      <c r="B53" s="376" t="s">
        <v>162</v>
      </c>
      <c r="C53" s="148" t="s">
        <v>126</v>
      </c>
      <c r="D53" s="148" t="s">
        <v>31</v>
      </c>
      <c r="E53" s="150" t="s">
        <v>128</v>
      </c>
      <c r="F53" s="148" t="s">
        <v>127</v>
      </c>
      <c r="G53" s="148" t="s">
        <v>129</v>
      </c>
      <c r="H53" s="148" t="s">
        <v>162</v>
      </c>
      <c r="I53" s="140">
        <f t="shared" ref="I53:J53" si="17">I54+I56</f>
        <v>7100000</v>
      </c>
      <c r="J53" s="140">
        <f t="shared" si="17"/>
        <v>7395120.4900000002</v>
      </c>
      <c r="K53" s="140">
        <f t="shared" si="1"/>
        <v>104.15662661971832</v>
      </c>
    </row>
    <row r="54" spans="1:11" ht="25.5">
      <c r="A54" s="256" t="s">
        <v>92</v>
      </c>
      <c r="B54" s="376" t="s">
        <v>162</v>
      </c>
      <c r="C54" s="148" t="s">
        <v>126</v>
      </c>
      <c r="D54" s="148" t="s">
        <v>31</v>
      </c>
      <c r="E54" s="150" t="s">
        <v>32</v>
      </c>
      <c r="F54" s="148" t="s">
        <v>131</v>
      </c>
      <c r="G54" s="148" t="s">
        <v>129</v>
      </c>
      <c r="H54" s="148" t="s">
        <v>133</v>
      </c>
      <c r="I54" s="140">
        <f t="shared" ref="I54:J54" si="18">I55</f>
        <v>7100000</v>
      </c>
      <c r="J54" s="140">
        <f t="shared" si="18"/>
        <v>7395120.4900000002</v>
      </c>
      <c r="K54" s="140">
        <f t="shared" si="1"/>
        <v>104.15662661971832</v>
      </c>
    </row>
    <row r="55" spans="1:11" ht="38.25">
      <c r="A55" s="7" t="s">
        <v>1092</v>
      </c>
      <c r="B55" s="376" t="s">
        <v>130</v>
      </c>
      <c r="C55" s="148" t="s">
        <v>126</v>
      </c>
      <c r="D55" s="148" t="s">
        <v>31</v>
      </c>
      <c r="E55" s="150" t="s">
        <v>205</v>
      </c>
      <c r="F55" s="148" t="s">
        <v>131</v>
      </c>
      <c r="G55" s="148" t="s">
        <v>129</v>
      </c>
      <c r="H55" s="148" t="s">
        <v>133</v>
      </c>
      <c r="I55" s="139">
        <f>5500000+1600000</f>
        <v>7100000</v>
      </c>
      <c r="J55" s="139">
        <v>7395120.4900000002</v>
      </c>
      <c r="K55" s="140">
        <f t="shared" si="1"/>
        <v>104.15662661971832</v>
      </c>
    </row>
    <row r="56" spans="1:11" ht="25.5">
      <c r="A56" s="256" t="s">
        <v>1211</v>
      </c>
      <c r="B56" s="376" t="s">
        <v>5</v>
      </c>
      <c r="C56" s="148" t="s">
        <v>126</v>
      </c>
      <c r="D56" s="148" t="s">
        <v>31</v>
      </c>
      <c r="E56" s="150" t="s">
        <v>1212</v>
      </c>
      <c r="F56" s="148" t="s">
        <v>131</v>
      </c>
      <c r="G56" s="148" t="s">
        <v>129</v>
      </c>
      <c r="H56" s="148" t="s">
        <v>133</v>
      </c>
      <c r="I56" s="139">
        <f>15000-15000</f>
        <v>0</v>
      </c>
      <c r="J56" s="139">
        <v>0</v>
      </c>
      <c r="K56" s="140"/>
    </row>
    <row r="57" spans="1:11" ht="25.5">
      <c r="A57" s="256" t="s">
        <v>100</v>
      </c>
      <c r="B57" s="376" t="s">
        <v>162</v>
      </c>
      <c r="C57" s="148" t="s">
        <v>126</v>
      </c>
      <c r="D57" s="148" t="s">
        <v>27</v>
      </c>
      <c r="E57" s="150" t="s">
        <v>128</v>
      </c>
      <c r="F57" s="148" t="s">
        <v>127</v>
      </c>
      <c r="G57" s="148" t="s">
        <v>129</v>
      </c>
      <c r="H57" s="148" t="s">
        <v>162</v>
      </c>
      <c r="I57" s="140">
        <f>I58+I72+I75+I68</f>
        <v>58718431</v>
      </c>
      <c r="J57" s="140">
        <f>J58+J72+J75+J68</f>
        <v>58389627.75</v>
      </c>
      <c r="K57" s="140">
        <f t="shared" si="1"/>
        <v>99.440033998864848</v>
      </c>
    </row>
    <row r="58" spans="1:11" ht="63.75">
      <c r="A58" s="256" t="s">
        <v>1093</v>
      </c>
      <c r="B58" s="376" t="s">
        <v>162</v>
      </c>
      <c r="C58" s="148" t="s">
        <v>126</v>
      </c>
      <c r="D58" s="148" t="s">
        <v>27</v>
      </c>
      <c r="E58" s="150" t="s">
        <v>29</v>
      </c>
      <c r="F58" s="148" t="s">
        <v>127</v>
      </c>
      <c r="G58" s="148" t="s">
        <v>129</v>
      </c>
      <c r="H58" s="148" t="s">
        <v>28</v>
      </c>
      <c r="I58" s="140">
        <f>I59+I63+I61+I66</f>
        <v>58287080</v>
      </c>
      <c r="J58" s="140">
        <f>J59+J63+J61+J66</f>
        <v>57958158.609999999</v>
      </c>
      <c r="K58" s="140">
        <f t="shared" si="1"/>
        <v>99.435687308405221</v>
      </c>
    </row>
    <row r="59" spans="1:11" ht="51">
      <c r="A59" s="256" t="s">
        <v>213</v>
      </c>
      <c r="B59" s="376" t="s">
        <v>162</v>
      </c>
      <c r="C59" s="148" t="s">
        <v>126</v>
      </c>
      <c r="D59" s="148" t="s">
        <v>27</v>
      </c>
      <c r="E59" s="150" t="s">
        <v>212</v>
      </c>
      <c r="F59" s="148" t="s">
        <v>127</v>
      </c>
      <c r="G59" s="148" t="s">
        <v>129</v>
      </c>
      <c r="H59" s="148" t="s">
        <v>28</v>
      </c>
      <c r="I59" s="140">
        <f t="shared" ref="I59:J59" si="19">I60</f>
        <v>32990000</v>
      </c>
      <c r="J59" s="140">
        <f t="shared" si="19"/>
        <v>32566316.600000001</v>
      </c>
      <c r="K59" s="140">
        <f t="shared" si="1"/>
        <v>98.715721733858757</v>
      </c>
    </row>
    <row r="60" spans="1:11" ht="76.5">
      <c r="A60" s="256" t="s">
        <v>1171</v>
      </c>
      <c r="B60" s="377" t="s">
        <v>66</v>
      </c>
      <c r="C60" s="158" t="s">
        <v>126</v>
      </c>
      <c r="D60" s="158" t="s">
        <v>27</v>
      </c>
      <c r="E60" s="159" t="s">
        <v>243</v>
      </c>
      <c r="F60" s="158" t="s">
        <v>227</v>
      </c>
      <c r="G60" s="158" t="s">
        <v>129</v>
      </c>
      <c r="H60" s="158" t="s">
        <v>28</v>
      </c>
      <c r="I60" s="139">
        <f>37640000-4500000-150000</f>
        <v>32990000</v>
      </c>
      <c r="J60" s="139">
        <v>32566316.600000001</v>
      </c>
      <c r="K60" s="140">
        <f t="shared" si="1"/>
        <v>98.715721733858757</v>
      </c>
    </row>
    <row r="61" spans="1:11" ht="63.75">
      <c r="A61" s="256" t="s">
        <v>1094</v>
      </c>
      <c r="B61" s="377" t="s">
        <v>66</v>
      </c>
      <c r="C61" s="158" t="s">
        <v>126</v>
      </c>
      <c r="D61" s="158" t="s">
        <v>27</v>
      </c>
      <c r="E61" s="159" t="s">
        <v>193</v>
      </c>
      <c r="F61" s="158" t="s">
        <v>127</v>
      </c>
      <c r="G61" s="158" t="s">
        <v>129</v>
      </c>
      <c r="H61" s="158" t="s">
        <v>28</v>
      </c>
      <c r="I61" s="140">
        <f t="shared" ref="I61:J61" si="20">I62</f>
        <v>30000</v>
      </c>
      <c r="J61" s="140">
        <f t="shared" si="20"/>
        <v>31599.53</v>
      </c>
      <c r="K61" s="140">
        <f t="shared" si="1"/>
        <v>105.33176666666665</v>
      </c>
    </row>
    <row r="62" spans="1:11" ht="63.75">
      <c r="A62" s="7" t="s">
        <v>1095</v>
      </c>
      <c r="B62" s="377" t="s">
        <v>66</v>
      </c>
      <c r="C62" s="158" t="s">
        <v>126</v>
      </c>
      <c r="D62" s="158" t="s">
        <v>27</v>
      </c>
      <c r="E62" s="159" t="s">
        <v>194</v>
      </c>
      <c r="F62" s="158" t="s">
        <v>227</v>
      </c>
      <c r="G62" s="158" t="s">
        <v>129</v>
      </c>
      <c r="H62" s="158" t="s">
        <v>28</v>
      </c>
      <c r="I62" s="139">
        <f>200000-170000</f>
        <v>30000</v>
      </c>
      <c r="J62" s="139">
        <v>31599.53</v>
      </c>
      <c r="K62" s="140">
        <f t="shared" si="1"/>
        <v>105.33176666666665</v>
      </c>
    </row>
    <row r="63" spans="1:11" ht="63.75">
      <c r="A63" s="256" t="s">
        <v>1096</v>
      </c>
      <c r="B63" s="376" t="s">
        <v>162</v>
      </c>
      <c r="C63" s="148" t="s">
        <v>126</v>
      </c>
      <c r="D63" s="148" t="s">
        <v>27</v>
      </c>
      <c r="E63" s="150" t="s">
        <v>195</v>
      </c>
      <c r="F63" s="148" t="s">
        <v>127</v>
      </c>
      <c r="G63" s="148" t="s">
        <v>129</v>
      </c>
      <c r="H63" s="148" t="s">
        <v>28</v>
      </c>
      <c r="I63" s="140">
        <f>I65+I64</f>
        <v>580880</v>
      </c>
      <c r="J63" s="140">
        <f t="shared" ref="J63" si="21">J65+J64</f>
        <v>665859.74</v>
      </c>
      <c r="K63" s="140">
        <f t="shared" si="1"/>
        <v>114.62948285360144</v>
      </c>
    </row>
    <row r="64" spans="1:11" ht="51">
      <c r="A64" s="7" t="s">
        <v>1097</v>
      </c>
      <c r="B64" s="376" t="s">
        <v>5</v>
      </c>
      <c r="C64" s="148" t="s">
        <v>126</v>
      </c>
      <c r="D64" s="148" t="s">
        <v>27</v>
      </c>
      <c r="E64" s="150" t="s">
        <v>196</v>
      </c>
      <c r="F64" s="148" t="s">
        <v>227</v>
      </c>
      <c r="G64" s="148" t="s">
        <v>129</v>
      </c>
      <c r="H64" s="148" t="s">
        <v>28</v>
      </c>
      <c r="I64" s="139">
        <f>15000+5880</f>
        <v>20880</v>
      </c>
      <c r="J64" s="139">
        <v>20880</v>
      </c>
      <c r="K64" s="140">
        <f t="shared" si="1"/>
        <v>100</v>
      </c>
    </row>
    <row r="65" spans="1:14" ht="51">
      <c r="A65" s="256" t="s">
        <v>1097</v>
      </c>
      <c r="B65" s="376" t="s">
        <v>66</v>
      </c>
      <c r="C65" s="148" t="s">
        <v>126</v>
      </c>
      <c r="D65" s="148" t="s">
        <v>27</v>
      </c>
      <c r="E65" s="150" t="s">
        <v>196</v>
      </c>
      <c r="F65" s="148" t="s">
        <v>227</v>
      </c>
      <c r="G65" s="148" t="s">
        <v>129</v>
      </c>
      <c r="H65" s="148" t="s">
        <v>28</v>
      </c>
      <c r="I65" s="240">
        <f>530000+30000</f>
        <v>560000</v>
      </c>
      <c r="J65" s="240">
        <v>644979.74</v>
      </c>
      <c r="K65" s="140">
        <f t="shared" si="1"/>
        <v>115.17495357142857</v>
      </c>
    </row>
    <row r="66" spans="1:14" ht="38.25">
      <c r="A66" s="395" t="s">
        <v>1896</v>
      </c>
      <c r="B66" s="376" t="s">
        <v>66</v>
      </c>
      <c r="C66" s="148" t="s">
        <v>126</v>
      </c>
      <c r="D66" s="148" t="s">
        <v>27</v>
      </c>
      <c r="E66" s="150" t="s">
        <v>1897</v>
      </c>
      <c r="F66" s="148" t="s">
        <v>127</v>
      </c>
      <c r="G66" s="148" t="s">
        <v>129</v>
      </c>
      <c r="H66" s="148" t="s">
        <v>28</v>
      </c>
      <c r="I66" s="139">
        <f>I67</f>
        <v>24686200</v>
      </c>
      <c r="J66" s="139">
        <f t="shared" ref="J66" si="22">J67</f>
        <v>24694382.739999998</v>
      </c>
      <c r="K66" s="140">
        <f t="shared" si="1"/>
        <v>100.03314702141277</v>
      </c>
    </row>
    <row r="67" spans="1:14" ht="25.5">
      <c r="A67" s="395" t="s">
        <v>1898</v>
      </c>
      <c r="B67" s="376" t="s">
        <v>66</v>
      </c>
      <c r="C67" s="148" t="s">
        <v>126</v>
      </c>
      <c r="D67" s="148" t="s">
        <v>27</v>
      </c>
      <c r="E67" s="150" t="s">
        <v>1899</v>
      </c>
      <c r="F67" s="148" t="s">
        <v>227</v>
      </c>
      <c r="G67" s="148" t="s">
        <v>129</v>
      </c>
      <c r="H67" s="148" t="s">
        <v>28</v>
      </c>
      <c r="I67" s="139">
        <f>18416200+6270000</f>
        <v>24686200</v>
      </c>
      <c r="J67" s="139">
        <v>24694382.739999998</v>
      </c>
      <c r="K67" s="140">
        <f t="shared" si="1"/>
        <v>100.03314702141277</v>
      </c>
      <c r="L67" s="110"/>
      <c r="M67" s="110"/>
      <c r="N67" s="110"/>
    </row>
    <row r="68" spans="1:14" ht="38.25">
      <c r="A68" s="395" t="s">
        <v>2268</v>
      </c>
      <c r="B68" s="376" t="s">
        <v>162</v>
      </c>
      <c r="C68" s="148" t="s">
        <v>126</v>
      </c>
      <c r="D68" s="148" t="s">
        <v>27</v>
      </c>
      <c r="E68" s="150" t="s">
        <v>2266</v>
      </c>
      <c r="F68" s="148" t="s">
        <v>127</v>
      </c>
      <c r="G68" s="148" t="s">
        <v>129</v>
      </c>
      <c r="H68" s="148" t="s">
        <v>28</v>
      </c>
      <c r="I68" s="139">
        <f t="shared" ref="I68:J70" si="23">I69</f>
        <v>0</v>
      </c>
      <c r="J68" s="139">
        <f t="shared" si="23"/>
        <v>118.74</v>
      </c>
      <c r="K68" s="140"/>
      <c r="L68" s="110"/>
      <c r="M68" s="110"/>
      <c r="N68" s="110"/>
    </row>
    <row r="69" spans="1:14" ht="63.75">
      <c r="A69" s="395" t="s">
        <v>2269</v>
      </c>
      <c r="B69" s="376" t="s">
        <v>162</v>
      </c>
      <c r="C69" s="148" t="s">
        <v>126</v>
      </c>
      <c r="D69" s="148" t="s">
        <v>27</v>
      </c>
      <c r="E69" s="150" t="s">
        <v>2267</v>
      </c>
      <c r="F69" s="148" t="s">
        <v>127</v>
      </c>
      <c r="G69" s="148" t="s">
        <v>129</v>
      </c>
      <c r="H69" s="148" t="s">
        <v>28</v>
      </c>
      <c r="I69" s="139">
        <f t="shared" si="23"/>
        <v>0</v>
      </c>
      <c r="J69" s="139">
        <f t="shared" si="23"/>
        <v>118.74</v>
      </c>
      <c r="K69" s="140"/>
      <c r="L69" s="110"/>
      <c r="M69" s="110"/>
      <c r="N69" s="110"/>
    </row>
    <row r="70" spans="1:14" ht="114.75">
      <c r="A70" s="395" t="s">
        <v>2270</v>
      </c>
      <c r="B70" s="376" t="s">
        <v>162</v>
      </c>
      <c r="C70" s="148" t="s">
        <v>126</v>
      </c>
      <c r="D70" s="148" t="s">
        <v>27</v>
      </c>
      <c r="E70" s="150" t="s">
        <v>2267</v>
      </c>
      <c r="F70" s="148" t="s">
        <v>227</v>
      </c>
      <c r="G70" s="148" t="s">
        <v>129</v>
      </c>
      <c r="H70" s="148" t="s">
        <v>28</v>
      </c>
      <c r="I70" s="139">
        <f t="shared" si="23"/>
        <v>0</v>
      </c>
      <c r="J70" s="139">
        <f t="shared" si="23"/>
        <v>118.74</v>
      </c>
      <c r="K70" s="140"/>
      <c r="L70" s="110"/>
      <c r="M70" s="110"/>
      <c r="N70" s="110"/>
    </row>
    <row r="71" spans="1:14" ht="114.75">
      <c r="A71" s="395" t="s">
        <v>2270</v>
      </c>
      <c r="B71" s="376" t="s">
        <v>821</v>
      </c>
      <c r="C71" s="148" t="s">
        <v>126</v>
      </c>
      <c r="D71" s="148" t="s">
        <v>27</v>
      </c>
      <c r="E71" s="150" t="s">
        <v>2267</v>
      </c>
      <c r="F71" s="148" t="s">
        <v>227</v>
      </c>
      <c r="G71" s="148" t="s">
        <v>129</v>
      </c>
      <c r="H71" s="148" t="s">
        <v>28</v>
      </c>
      <c r="I71" s="139">
        <v>0</v>
      </c>
      <c r="J71" s="139">
        <v>118.74</v>
      </c>
      <c r="K71" s="140"/>
      <c r="L71" s="110"/>
      <c r="M71" s="110"/>
      <c r="N71" s="110"/>
    </row>
    <row r="72" spans="1:14">
      <c r="A72" s="179" t="s">
        <v>9</v>
      </c>
      <c r="B72" s="376" t="s">
        <v>66</v>
      </c>
      <c r="C72" s="148" t="s">
        <v>126</v>
      </c>
      <c r="D72" s="148" t="s">
        <v>27</v>
      </c>
      <c r="E72" s="150" t="s">
        <v>206</v>
      </c>
      <c r="F72" s="148" t="s">
        <v>127</v>
      </c>
      <c r="G72" s="148" t="s">
        <v>129</v>
      </c>
      <c r="H72" s="148" t="s">
        <v>28</v>
      </c>
      <c r="I72" s="140">
        <f t="shared" ref="I72:J73" si="24">I73</f>
        <v>352016</v>
      </c>
      <c r="J72" s="140">
        <f t="shared" si="24"/>
        <v>352016</v>
      </c>
      <c r="K72" s="140">
        <f t="shared" si="1"/>
        <v>100</v>
      </c>
      <c r="L72" s="110"/>
      <c r="M72" s="110"/>
      <c r="N72" s="110"/>
    </row>
    <row r="73" spans="1:14" ht="38.25">
      <c r="A73" s="7" t="s">
        <v>10</v>
      </c>
      <c r="B73" s="376" t="s">
        <v>66</v>
      </c>
      <c r="C73" s="148" t="s">
        <v>126</v>
      </c>
      <c r="D73" s="148" t="s">
        <v>27</v>
      </c>
      <c r="E73" s="150" t="s">
        <v>197</v>
      </c>
      <c r="F73" s="148" t="s">
        <v>127</v>
      </c>
      <c r="G73" s="148" t="s">
        <v>129</v>
      </c>
      <c r="H73" s="148" t="s">
        <v>28</v>
      </c>
      <c r="I73" s="140">
        <f t="shared" si="24"/>
        <v>352016</v>
      </c>
      <c r="J73" s="140">
        <f t="shared" si="24"/>
        <v>352016</v>
      </c>
      <c r="K73" s="140">
        <f t="shared" ref="K73:K136" si="25">J73/I73*100</f>
        <v>100</v>
      </c>
    </row>
    <row r="74" spans="1:14" ht="38.25">
      <c r="A74" s="7" t="s">
        <v>120</v>
      </c>
      <c r="B74" s="376" t="s">
        <v>66</v>
      </c>
      <c r="C74" s="148" t="s">
        <v>126</v>
      </c>
      <c r="D74" s="148" t="s">
        <v>27</v>
      </c>
      <c r="E74" s="150" t="s">
        <v>198</v>
      </c>
      <c r="F74" s="148" t="s">
        <v>227</v>
      </c>
      <c r="G74" s="148" t="s">
        <v>129</v>
      </c>
      <c r="H74" s="148" t="s">
        <v>28</v>
      </c>
      <c r="I74" s="139">
        <f>45000+307016</f>
        <v>352016</v>
      </c>
      <c r="J74" s="139">
        <v>352016</v>
      </c>
      <c r="K74" s="140">
        <f t="shared" si="25"/>
        <v>100</v>
      </c>
    </row>
    <row r="75" spans="1:14" ht="63.75">
      <c r="A75" s="256" t="s">
        <v>630</v>
      </c>
      <c r="B75" s="376" t="s">
        <v>66</v>
      </c>
      <c r="C75" s="148" t="s">
        <v>126</v>
      </c>
      <c r="D75" s="148" t="s">
        <v>27</v>
      </c>
      <c r="E75" s="150" t="s">
        <v>631</v>
      </c>
      <c r="F75" s="148" t="s">
        <v>227</v>
      </c>
      <c r="G75" s="148" t="s">
        <v>129</v>
      </c>
      <c r="H75" s="148" t="s">
        <v>28</v>
      </c>
      <c r="I75" s="140">
        <f t="shared" ref="I75:J76" si="26">I76</f>
        <v>79335</v>
      </c>
      <c r="J75" s="140">
        <f t="shared" si="26"/>
        <v>79334.399999999994</v>
      </c>
      <c r="K75" s="140">
        <f t="shared" si="25"/>
        <v>99.999243713367363</v>
      </c>
    </row>
    <row r="76" spans="1:14" ht="76.5">
      <c r="A76" s="256" t="s">
        <v>1859</v>
      </c>
      <c r="B76" s="376" t="s">
        <v>66</v>
      </c>
      <c r="C76" s="148" t="s">
        <v>126</v>
      </c>
      <c r="D76" s="148" t="s">
        <v>27</v>
      </c>
      <c r="E76" s="150" t="s">
        <v>1873</v>
      </c>
      <c r="F76" s="148" t="s">
        <v>127</v>
      </c>
      <c r="G76" s="148" t="s">
        <v>129</v>
      </c>
      <c r="H76" s="148" t="s">
        <v>28</v>
      </c>
      <c r="I76" s="140">
        <f t="shared" si="26"/>
        <v>79335</v>
      </c>
      <c r="J76" s="140">
        <f t="shared" si="26"/>
        <v>79334.399999999994</v>
      </c>
      <c r="K76" s="140">
        <f t="shared" si="25"/>
        <v>99.999243713367363</v>
      </c>
    </row>
    <row r="77" spans="1:14" ht="76.5">
      <c r="A77" s="256" t="s">
        <v>1860</v>
      </c>
      <c r="B77" s="376" t="s">
        <v>66</v>
      </c>
      <c r="C77" s="148" t="s">
        <v>126</v>
      </c>
      <c r="D77" s="148" t="s">
        <v>27</v>
      </c>
      <c r="E77" s="150" t="s">
        <v>1873</v>
      </c>
      <c r="F77" s="148" t="s">
        <v>227</v>
      </c>
      <c r="G77" s="148" t="s">
        <v>129</v>
      </c>
      <c r="H77" s="148" t="s">
        <v>28</v>
      </c>
      <c r="I77" s="139">
        <f>247500-168165</f>
        <v>79335</v>
      </c>
      <c r="J77" s="139">
        <v>79334.399999999994</v>
      </c>
      <c r="K77" s="140">
        <f t="shared" si="25"/>
        <v>99.999243713367363</v>
      </c>
    </row>
    <row r="78" spans="1:14">
      <c r="A78" s="7" t="s">
        <v>121</v>
      </c>
      <c r="B78" s="376" t="s">
        <v>76</v>
      </c>
      <c r="C78" s="148" t="s">
        <v>126</v>
      </c>
      <c r="D78" s="148" t="s">
        <v>199</v>
      </c>
      <c r="E78" s="150" t="s">
        <v>128</v>
      </c>
      <c r="F78" s="148" t="s">
        <v>127</v>
      </c>
      <c r="G78" s="148" t="s">
        <v>129</v>
      </c>
      <c r="H78" s="148" t="s">
        <v>162</v>
      </c>
      <c r="I78" s="140">
        <f t="shared" ref="I78:J78" si="27">I79</f>
        <v>2756480</v>
      </c>
      <c r="J78" s="140">
        <f t="shared" si="27"/>
        <v>2755377.2700000005</v>
      </c>
      <c r="K78" s="140">
        <f t="shared" si="25"/>
        <v>99.959994993615069</v>
      </c>
    </row>
    <row r="79" spans="1:14">
      <c r="A79" s="7" t="s">
        <v>1098</v>
      </c>
      <c r="B79" s="376" t="s">
        <v>76</v>
      </c>
      <c r="C79" s="148" t="s">
        <v>126</v>
      </c>
      <c r="D79" s="148" t="s">
        <v>199</v>
      </c>
      <c r="E79" s="150" t="s">
        <v>132</v>
      </c>
      <c r="F79" s="148" t="s">
        <v>131</v>
      </c>
      <c r="G79" s="148" t="s">
        <v>129</v>
      </c>
      <c r="H79" s="148" t="s">
        <v>28</v>
      </c>
      <c r="I79" s="139">
        <f>I80+I81+I82+I85</f>
        <v>2756480</v>
      </c>
      <c r="J79" s="139">
        <f>J80+J81+J82+J85</f>
        <v>2755377.2700000005</v>
      </c>
      <c r="K79" s="140">
        <f t="shared" si="25"/>
        <v>99.959994993615069</v>
      </c>
    </row>
    <row r="80" spans="1:14" ht="25.5">
      <c r="A80" s="7" t="s">
        <v>633</v>
      </c>
      <c r="B80" s="376" t="s">
        <v>76</v>
      </c>
      <c r="C80" s="148" t="s">
        <v>126</v>
      </c>
      <c r="D80" s="148" t="s">
        <v>199</v>
      </c>
      <c r="E80" s="150" t="s">
        <v>221</v>
      </c>
      <c r="F80" s="148" t="s">
        <v>131</v>
      </c>
      <c r="G80" s="148" t="s">
        <v>129</v>
      </c>
      <c r="H80" s="148" t="s">
        <v>28</v>
      </c>
      <c r="I80" s="139">
        <f>272300+1573000</f>
        <v>1845300</v>
      </c>
      <c r="J80" s="139">
        <v>1465042.56</v>
      </c>
      <c r="K80" s="140">
        <f t="shared" si="25"/>
        <v>79.393191350999842</v>
      </c>
    </row>
    <row r="81" spans="1:11">
      <c r="A81" s="7" t="s">
        <v>634</v>
      </c>
      <c r="B81" s="376" t="s">
        <v>76</v>
      </c>
      <c r="C81" s="148" t="s">
        <v>126</v>
      </c>
      <c r="D81" s="148" t="s">
        <v>199</v>
      </c>
      <c r="E81" s="150" t="s">
        <v>242</v>
      </c>
      <c r="F81" s="148" t="s">
        <v>131</v>
      </c>
      <c r="G81" s="148" t="s">
        <v>129</v>
      </c>
      <c r="H81" s="148" t="s">
        <v>28</v>
      </c>
      <c r="I81" s="139">
        <f>398840-306000</f>
        <v>92840</v>
      </c>
      <c r="J81" s="139">
        <v>153746.59</v>
      </c>
      <c r="K81" s="140">
        <f t="shared" si="25"/>
        <v>165.6038237828522</v>
      </c>
    </row>
    <row r="82" spans="1:11">
      <c r="A82" s="7" t="s">
        <v>635</v>
      </c>
      <c r="B82" s="376" t="s">
        <v>76</v>
      </c>
      <c r="C82" s="148" t="s">
        <v>126</v>
      </c>
      <c r="D82" s="148" t="s">
        <v>199</v>
      </c>
      <c r="E82" s="150" t="s">
        <v>279</v>
      </c>
      <c r="F82" s="148" t="s">
        <v>131</v>
      </c>
      <c r="G82" s="148" t="s">
        <v>129</v>
      </c>
      <c r="H82" s="148" t="s">
        <v>28</v>
      </c>
      <c r="I82" s="139">
        <f t="shared" ref="I82:J82" si="28">I83+I84</f>
        <v>818340</v>
      </c>
      <c r="J82" s="139">
        <f t="shared" si="28"/>
        <v>1135542.21</v>
      </c>
      <c r="K82" s="140">
        <f t="shared" si="25"/>
        <v>138.76166507808489</v>
      </c>
    </row>
    <row r="83" spans="1:11">
      <c r="A83" s="7" t="s">
        <v>1233</v>
      </c>
      <c r="B83" s="376" t="s">
        <v>76</v>
      </c>
      <c r="C83" s="148" t="s">
        <v>126</v>
      </c>
      <c r="D83" s="148" t="s">
        <v>199</v>
      </c>
      <c r="E83" s="150" t="s">
        <v>1234</v>
      </c>
      <c r="F83" s="148" t="s">
        <v>131</v>
      </c>
      <c r="G83" s="148" t="s">
        <v>129</v>
      </c>
      <c r="H83" s="148" t="s">
        <v>28</v>
      </c>
      <c r="I83" s="139">
        <f>925680-115000</f>
        <v>810680</v>
      </c>
      <c r="J83" s="139">
        <v>1128220.01</v>
      </c>
      <c r="K83" s="140">
        <f t="shared" si="25"/>
        <v>139.16958726007795</v>
      </c>
    </row>
    <row r="84" spans="1:11">
      <c r="A84" s="7" t="s">
        <v>1861</v>
      </c>
      <c r="B84" s="376" t="s">
        <v>76</v>
      </c>
      <c r="C84" s="148" t="s">
        <v>126</v>
      </c>
      <c r="D84" s="148" t="s">
        <v>199</v>
      </c>
      <c r="E84" s="150" t="s">
        <v>1874</v>
      </c>
      <c r="F84" s="148" t="s">
        <v>131</v>
      </c>
      <c r="G84" s="148" t="s">
        <v>129</v>
      </c>
      <c r="H84" s="148" t="s">
        <v>28</v>
      </c>
      <c r="I84" s="139">
        <v>7660</v>
      </c>
      <c r="J84" s="139">
        <v>7322.2</v>
      </c>
      <c r="K84" s="140">
        <f t="shared" si="25"/>
        <v>95.590078328981718</v>
      </c>
    </row>
    <row r="85" spans="1:11" ht="38.25">
      <c r="A85" s="7" t="s">
        <v>2271</v>
      </c>
      <c r="B85" s="376" t="s">
        <v>76</v>
      </c>
      <c r="C85" s="148" t="s">
        <v>126</v>
      </c>
      <c r="D85" s="148" t="s">
        <v>199</v>
      </c>
      <c r="E85" s="150" t="s">
        <v>1677</v>
      </c>
      <c r="F85" s="148" t="s">
        <v>131</v>
      </c>
      <c r="G85" s="148" t="s">
        <v>129</v>
      </c>
      <c r="H85" s="148" t="s">
        <v>28</v>
      </c>
      <c r="I85" s="139">
        <v>0</v>
      </c>
      <c r="J85" s="139">
        <v>1045.9100000000001</v>
      </c>
      <c r="K85" s="140"/>
    </row>
    <row r="86" spans="1:11" ht="25.5">
      <c r="A86" s="7" t="s">
        <v>1099</v>
      </c>
      <c r="B86" s="376" t="s">
        <v>162</v>
      </c>
      <c r="C86" s="148" t="s">
        <v>126</v>
      </c>
      <c r="D86" s="148" t="s">
        <v>71</v>
      </c>
      <c r="E86" s="150" t="s">
        <v>128</v>
      </c>
      <c r="F86" s="148" t="s">
        <v>127</v>
      </c>
      <c r="G86" s="148" t="s">
        <v>129</v>
      </c>
      <c r="H86" s="148" t="s">
        <v>162</v>
      </c>
      <c r="I86" s="140">
        <f>I89+I94</f>
        <v>32219613.330000002</v>
      </c>
      <c r="J86" s="140">
        <f>J89+J94</f>
        <v>32573570.380000003</v>
      </c>
      <c r="K86" s="140">
        <f t="shared" si="25"/>
        <v>101.09857634346724</v>
      </c>
    </row>
    <row r="87" spans="1:11">
      <c r="A87" s="7" t="s">
        <v>1100</v>
      </c>
      <c r="B87" s="376" t="s">
        <v>162</v>
      </c>
      <c r="C87" s="148" t="s">
        <v>126</v>
      </c>
      <c r="D87" s="148" t="s">
        <v>71</v>
      </c>
      <c r="E87" s="150" t="s">
        <v>132</v>
      </c>
      <c r="F87" s="148" t="s">
        <v>127</v>
      </c>
      <c r="G87" s="148" t="s">
        <v>129</v>
      </c>
      <c r="H87" s="148" t="s">
        <v>72</v>
      </c>
      <c r="I87" s="140">
        <f t="shared" ref="I87:J88" si="29">I88</f>
        <v>30494994.920000002</v>
      </c>
      <c r="J87" s="140">
        <f t="shared" si="29"/>
        <v>30842144.810000002</v>
      </c>
      <c r="K87" s="140">
        <f t="shared" si="25"/>
        <v>101.13838317045374</v>
      </c>
    </row>
    <row r="88" spans="1:11">
      <c r="A88" s="7" t="s">
        <v>1101</v>
      </c>
      <c r="B88" s="376" t="s">
        <v>162</v>
      </c>
      <c r="C88" s="148" t="s">
        <v>126</v>
      </c>
      <c r="D88" s="148" t="s">
        <v>71</v>
      </c>
      <c r="E88" s="150" t="s">
        <v>1102</v>
      </c>
      <c r="F88" s="148" t="s">
        <v>127</v>
      </c>
      <c r="G88" s="148" t="s">
        <v>129</v>
      </c>
      <c r="H88" s="148" t="s">
        <v>72</v>
      </c>
      <c r="I88" s="140">
        <f t="shared" si="29"/>
        <v>30494994.920000002</v>
      </c>
      <c r="J88" s="140">
        <f t="shared" si="29"/>
        <v>30842144.810000002</v>
      </c>
      <c r="K88" s="140">
        <f t="shared" si="25"/>
        <v>101.13838317045374</v>
      </c>
    </row>
    <row r="89" spans="1:11" ht="25.5">
      <c r="A89" s="7" t="s">
        <v>636</v>
      </c>
      <c r="B89" s="376" t="s">
        <v>162</v>
      </c>
      <c r="C89" s="148" t="s">
        <v>126</v>
      </c>
      <c r="D89" s="148" t="s">
        <v>71</v>
      </c>
      <c r="E89" s="150" t="s">
        <v>245</v>
      </c>
      <c r="F89" s="148" t="s">
        <v>227</v>
      </c>
      <c r="G89" s="148" t="s">
        <v>129</v>
      </c>
      <c r="H89" s="148" t="s">
        <v>72</v>
      </c>
      <c r="I89" s="140">
        <f>I92+I93+I91+I90</f>
        <v>30494994.920000002</v>
      </c>
      <c r="J89" s="140">
        <f>J92+J93+J91+J90</f>
        <v>30842144.810000002</v>
      </c>
      <c r="K89" s="140">
        <f t="shared" si="25"/>
        <v>101.13838317045374</v>
      </c>
    </row>
    <row r="90" spans="1:11" ht="25.5">
      <c r="A90" s="7" t="s">
        <v>244</v>
      </c>
      <c r="B90" s="376" t="s">
        <v>5</v>
      </c>
      <c r="C90" s="148" t="s">
        <v>126</v>
      </c>
      <c r="D90" s="148" t="s">
        <v>71</v>
      </c>
      <c r="E90" s="150" t="s">
        <v>245</v>
      </c>
      <c r="F90" s="148" t="s">
        <v>227</v>
      </c>
      <c r="G90" s="148" t="s">
        <v>129</v>
      </c>
      <c r="H90" s="148" t="s">
        <v>72</v>
      </c>
      <c r="I90" s="140">
        <v>0</v>
      </c>
      <c r="J90" s="140">
        <v>1900</v>
      </c>
      <c r="K90" s="140"/>
    </row>
    <row r="91" spans="1:11" ht="25.5">
      <c r="A91" s="7" t="s">
        <v>244</v>
      </c>
      <c r="B91" s="376" t="s">
        <v>952</v>
      </c>
      <c r="C91" s="148" t="s">
        <v>126</v>
      </c>
      <c r="D91" s="148" t="s">
        <v>71</v>
      </c>
      <c r="E91" s="150" t="s">
        <v>245</v>
      </c>
      <c r="F91" s="148" t="s">
        <v>227</v>
      </c>
      <c r="G91" s="148" t="s">
        <v>129</v>
      </c>
      <c r="H91" s="148" t="s">
        <v>72</v>
      </c>
      <c r="I91" s="139">
        <f>2134740-867745.08</f>
        <v>1266994.92</v>
      </c>
      <c r="J91" s="139">
        <v>1266994.92</v>
      </c>
      <c r="K91" s="140">
        <f t="shared" si="25"/>
        <v>100</v>
      </c>
    </row>
    <row r="92" spans="1:11" ht="25.5">
      <c r="A92" s="151" t="s">
        <v>244</v>
      </c>
      <c r="B92" s="376" t="s">
        <v>207</v>
      </c>
      <c r="C92" s="148" t="s">
        <v>126</v>
      </c>
      <c r="D92" s="148" t="s">
        <v>71</v>
      </c>
      <c r="E92" s="150" t="s">
        <v>245</v>
      </c>
      <c r="F92" s="148" t="s">
        <v>227</v>
      </c>
      <c r="G92" s="148" t="s">
        <v>8</v>
      </c>
      <c r="H92" s="148" t="s">
        <v>72</v>
      </c>
      <c r="I92" s="139">
        <f>25223000-1500000</f>
        <v>23723000</v>
      </c>
      <c r="J92" s="139">
        <v>23700257.140000001</v>
      </c>
      <c r="K92" s="140">
        <f t="shared" si="25"/>
        <v>99.904131602242558</v>
      </c>
    </row>
    <row r="93" spans="1:11" ht="38.25">
      <c r="A93" s="256" t="s">
        <v>1862</v>
      </c>
      <c r="B93" s="376" t="s">
        <v>207</v>
      </c>
      <c r="C93" s="148" t="s">
        <v>126</v>
      </c>
      <c r="D93" s="148" t="s">
        <v>71</v>
      </c>
      <c r="E93" s="150" t="s">
        <v>245</v>
      </c>
      <c r="F93" s="148" t="s">
        <v>227</v>
      </c>
      <c r="G93" s="148" t="s">
        <v>257</v>
      </c>
      <c r="H93" s="148" t="s">
        <v>72</v>
      </c>
      <c r="I93" s="139">
        <f>4705000+800000</f>
        <v>5505000</v>
      </c>
      <c r="J93" s="139">
        <v>5872992.7499999991</v>
      </c>
      <c r="K93" s="140">
        <f t="shared" si="25"/>
        <v>106.68470027247953</v>
      </c>
    </row>
    <row r="94" spans="1:11">
      <c r="A94" s="256" t="s">
        <v>1103</v>
      </c>
      <c r="B94" s="376" t="s">
        <v>162</v>
      </c>
      <c r="C94" s="148" t="s">
        <v>126</v>
      </c>
      <c r="D94" s="148" t="s">
        <v>71</v>
      </c>
      <c r="E94" s="150" t="s">
        <v>224</v>
      </c>
      <c r="F94" s="148" t="s">
        <v>127</v>
      </c>
      <c r="G94" s="148" t="s">
        <v>129</v>
      </c>
      <c r="H94" s="148" t="s">
        <v>72</v>
      </c>
      <c r="I94" s="139">
        <f>I95+I98</f>
        <v>1724618.4100000001</v>
      </c>
      <c r="J94" s="139">
        <f>J95+J98</f>
        <v>1731425.5700000003</v>
      </c>
      <c r="K94" s="140">
        <f t="shared" si="25"/>
        <v>100.39470528439971</v>
      </c>
    </row>
    <row r="95" spans="1:11" ht="25.5">
      <c r="A95" s="256" t="s">
        <v>1104</v>
      </c>
      <c r="B95" s="377" t="s">
        <v>162</v>
      </c>
      <c r="C95" s="158" t="s">
        <v>126</v>
      </c>
      <c r="D95" s="158" t="s">
        <v>71</v>
      </c>
      <c r="E95" s="159" t="s">
        <v>1105</v>
      </c>
      <c r="F95" s="158" t="s">
        <v>127</v>
      </c>
      <c r="G95" s="158" t="s">
        <v>129</v>
      </c>
      <c r="H95" s="158" t="s">
        <v>72</v>
      </c>
      <c r="I95" s="139">
        <f t="shared" ref="I95:J96" si="30">I96</f>
        <v>1187064</v>
      </c>
      <c r="J95" s="139">
        <f t="shared" si="30"/>
        <v>1188427.1000000001</v>
      </c>
      <c r="K95" s="140">
        <f t="shared" si="25"/>
        <v>100.11482952898918</v>
      </c>
    </row>
    <row r="96" spans="1:11" ht="25.5">
      <c r="A96" s="256" t="s">
        <v>544</v>
      </c>
      <c r="B96" s="376" t="s">
        <v>5</v>
      </c>
      <c r="C96" s="148" t="s">
        <v>126</v>
      </c>
      <c r="D96" s="148" t="s">
        <v>71</v>
      </c>
      <c r="E96" s="150" t="s">
        <v>545</v>
      </c>
      <c r="F96" s="148" t="s">
        <v>227</v>
      </c>
      <c r="G96" s="148" t="s">
        <v>129</v>
      </c>
      <c r="H96" s="148" t="s">
        <v>72</v>
      </c>
      <c r="I96" s="139">
        <f t="shared" si="30"/>
        <v>1187064</v>
      </c>
      <c r="J96" s="139">
        <f t="shared" si="30"/>
        <v>1188427.1000000001</v>
      </c>
      <c r="K96" s="140">
        <f t="shared" si="25"/>
        <v>100.11482952898918</v>
      </c>
    </row>
    <row r="97" spans="1:11" ht="25.5">
      <c r="A97" s="7" t="s">
        <v>544</v>
      </c>
      <c r="B97" s="376" t="s">
        <v>5</v>
      </c>
      <c r="C97" s="148" t="s">
        <v>126</v>
      </c>
      <c r="D97" s="148" t="s">
        <v>71</v>
      </c>
      <c r="E97" s="150" t="s">
        <v>545</v>
      </c>
      <c r="F97" s="148" t="s">
        <v>227</v>
      </c>
      <c r="G97" s="148" t="s">
        <v>129</v>
      </c>
      <c r="H97" s="148" t="s">
        <v>72</v>
      </c>
      <c r="I97" s="139">
        <f>1431284-294220+50000</f>
        <v>1187064</v>
      </c>
      <c r="J97" s="139">
        <v>1188427.1000000001</v>
      </c>
      <c r="K97" s="140">
        <f t="shared" si="25"/>
        <v>100.11482952898918</v>
      </c>
    </row>
    <row r="98" spans="1:11">
      <c r="A98" s="7" t="s">
        <v>296</v>
      </c>
      <c r="B98" s="376" t="s">
        <v>162</v>
      </c>
      <c r="C98" s="148" t="s">
        <v>126</v>
      </c>
      <c r="D98" s="148" t="s">
        <v>71</v>
      </c>
      <c r="E98" s="150" t="s">
        <v>2188</v>
      </c>
      <c r="F98" s="148" t="s">
        <v>127</v>
      </c>
      <c r="G98" s="148" t="s">
        <v>129</v>
      </c>
      <c r="H98" s="148" t="s">
        <v>72</v>
      </c>
      <c r="I98" s="139">
        <f>I101+I100+I99+I102</f>
        <v>537554.41</v>
      </c>
      <c r="J98" s="139">
        <f>J101+J100+J99+J102</f>
        <v>542998.47000000009</v>
      </c>
      <c r="K98" s="140">
        <f t="shared" si="25"/>
        <v>101.01274585394995</v>
      </c>
    </row>
    <row r="99" spans="1:11" ht="25.5">
      <c r="A99" s="7" t="s">
        <v>1222</v>
      </c>
      <c r="B99" s="376" t="s">
        <v>5</v>
      </c>
      <c r="C99" s="148" t="s">
        <v>126</v>
      </c>
      <c r="D99" s="148" t="s">
        <v>71</v>
      </c>
      <c r="E99" s="150" t="s">
        <v>2187</v>
      </c>
      <c r="F99" s="148" t="s">
        <v>227</v>
      </c>
      <c r="G99" s="148" t="s">
        <v>129</v>
      </c>
      <c r="H99" s="148" t="s">
        <v>72</v>
      </c>
      <c r="I99" s="139">
        <v>20818.66</v>
      </c>
      <c r="J99" s="139">
        <v>20818.66</v>
      </c>
      <c r="K99" s="140">
        <f t="shared" si="25"/>
        <v>100</v>
      </c>
    </row>
    <row r="100" spans="1:11" ht="25.5">
      <c r="A100" s="7" t="s">
        <v>1222</v>
      </c>
      <c r="B100" s="376" t="s">
        <v>230</v>
      </c>
      <c r="C100" s="148" t="s">
        <v>126</v>
      </c>
      <c r="D100" s="148" t="s">
        <v>71</v>
      </c>
      <c r="E100" s="150" t="s">
        <v>2187</v>
      </c>
      <c r="F100" s="148" t="s">
        <v>227</v>
      </c>
      <c r="G100" s="148" t="s">
        <v>129</v>
      </c>
      <c r="H100" s="148" t="s">
        <v>72</v>
      </c>
      <c r="I100" s="139">
        <v>3501.5</v>
      </c>
      <c r="J100" s="139">
        <v>3501.5</v>
      </c>
      <c r="K100" s="140">
        <f t="shared" si="25"/>
        <v>100</v>
      </c>
    </row>
    <row r="101" spans="1:11" ht="25.5">
      <c r="A101" s="7" t="s">
        <v>1222</v>
      </c>
      <c r="B101" s="376" t="s">
        <v>207</v>
      </c>
      <c r="C101" s="148" t="s">
        <v>126</v>
      </c>
      <c r="D101" s="148" t="s">
        <v>71</v>
      </c>
      <c r="E101" s="150" t="s">
        <v>2187</v>
      </c>
      <c r="F101" s="148" t="s">
        <v>227</v>
      </c>
      <c r="G101" s="148" t="s">
        <v>129</v>
      </c>
      <c r="H101" s="148" t="s">
        <v>72</v>
      </c>
      <c r="I101" s="139">
        <f>138204+375030.25</f>
        <v>513234.25</v>
      </c>
      <c r="J101" s="139">
        <v>513235.14</v>
      </c>
      <c r="K101" s="140">
        <f t="shared" si="25"/>
        <v>100.0001734100949</v>
      </c>
    </row>
    <row r="102" spans="1:11" ht="25.5">
      <c r="A102" s="7" t="s">
        <v>1222</v>
      </c>
      <c r="B102" s="376" t="s">
        <v>952</v>
      </c>
      <c r="C102" s="148" t="s">
        <v>126</v>
      </c>
      <c r="D102" s="148" t="s">
        <v>71</v>
      </c>
      <c r="E102" s="150" t="s">
        <v>2187</v>
      </c>
      <c r="F102" s="148" t="s">
        <v>227</v>
      </c>
      <c r="G102" s="148" t="s">
        <v>129</v>
      </c>
      <c r="H102" s="148" t="s">
        <v>72</v>
      </c>
      <c r="I102" s="139">
        <v>0</v>
      </c>
      <c r="J102" s="139">
        <v>5443.17</v>
      </c>
      <c r="K102" s="140"/>
    </row>
    <row r="103" spans="1:11" ht="25.5">
      <c r="A103" s="256" t="s">
        <v>122</v>
      </c>
      <c r="B103" s="377" t="s">
        <v>66</v>
      </c>
      <c r="C103" s="158" t="s">
        <v>126</v>
      </c>
      <c r="D103" s="158" t="s">
        <v>73</v>
      </c>
      <c r="E103" s="159" t="s">
        <v>128</v>
      </c>
      <c r="F103" s="158" t="s">
        <v>127</v>
      </c>
      <c r="G103" s="158" t="s">
        <v>129</v>
      </c>
      <c r="H103" s="158" t="s">
        <v>162</v>
      </c>
      <c r="I103" s="140">
        <f t="shared" ref="I103:J103" si="31">I104+I107</f>
        <v>8597000</v>
      </c>
      <c r="J103" s="140">
        <f t="shared" si="31"/>
        <v>6323007.8099999996</v>
      </c>
      <c r="K103" s="140">
        <f t="shared" si="25"/>
        <v>73.549003256950101</v>
      </c>
    </row>
    <row r="104" spans="1:11" ht="63.75">
      <c r="A104" s="256" t="s">
        <v>1106</v>
      </c>
      <c r="B104" s="377" t="s">
        <v>66</v>
      </c>
      <c r="C104" s="158" t="s">
        <v>126</v>
      </c>
      <c r="D104" s="158" t="s">
        <v>73</v>
      </c>
      <c r="E104" s="159" t="s">
        <v>224</v>
      </c>
      <c r="F104" s="158" t="s">
        <v>127</v>
      </c>
      <c r="G104" s="158" t="s">
        <v>129</v>
      </c>
      <c r="H104" s="158" t="s">
        <v>162</v>
      </c>
      <c r="I104" s="140">
        <f t="shared" ref="I104:J105" si="32">I105</f>
        <v>3950000</v>
      </c>
      <c r="J104" s="140">
        <f t="shared" si="32"/>
        <v>1837000</v>
      </c>
      <c r="K104" s="140">
        <f t="shared" si="25"/>
        <v>46.506329113924053</v>
      </c>
    </row>
    <row r="105" spans="1:11" ht="76.5">
      <c r="A105" s="256" t="s">
        <v>1107</v>
      </c>
      <c r="B105" s="377" t="s">
        <v>66</v>
      </c>
      <c r="C105" s="158" t="s">
        <v>126</v>
      </c>
      <c r="D105" s="158" t="s">
        <v>73</v>
      </c>
      <c r="E105" s="159" t="s">
        <v>258</v>
      </c>
      <c r="F105" s="158" t="s">
        <v>227</v>
      </c>
      <c r="G105" s="158" t="s">
        <v>129</v>
      </c>
      <c r="H105" s="158" t="s">
        <v>75</v>
      </c>
      <c r="I105" s="140">
        <f t="shared" si="32"/>
        <v>3950000</v>
      </c>
      <c r="J105" s="140">
        <f t="shared" si="32"/>
        <v>1837000</v>
      </c>
      <c r="K105" s="140">
        <f t="shared" si="25"/>
        <v>46.506329113924053</v>
      </c>
    </row>
    <row r="106" spans="1:11" ht="76.5">
      <c r="A106" s="256" t="s">
        <v>1108</v>
      </c>
      <c r="B106" s="377" t="s">
        <v>66</v>
      </c>
      <c r="C106" s="158" t="s">
        <v>126</v>
      </c>
      <c r="D106" s="158" t="s">
        <v>73</v>
      </c>
      <c r="E106" s="159" t="s">
        <v>246</v>
      </c>
      <c r="F106" s="158" t="s">
        <v>227</v>
      </c>
      <c r="G106" s="158" t="s">
        <v>129</v>
      </c>
      <c r="H106" s="158" t="s">
        <v>75</v>
      </c>
      <c r="I106" s="139">
        <f>6680000-110000-2620000</f>
        <v>3950000</v>
      </c>
      <c r="J106" s="139">
        <v>1837000</v>
      </c>
      <c r="K106" s="140">
        <f t="shared" si="25"/>
        <v>46.506329113924053</v>
      </c>
    </row>
    <row r="107" spans="1:11" ht="25.5">
      <c r="A107" s="256" t="s">
        <v>1109</v>
      </c>
      <c r="B107" s="377" t="s">
        <v>66</v>
      </c>
      <c r="C107" s="158" t="s">
        <v>126</v>
      </c>
      <c r="D107" s="158" t="s">
        <v>73</v>
      </c>
      <c r="E107" s="159" t="s">
        <v>229</v>
      </c>
      <c r="F107" s="158" t="s">
        <v>127</v>
      </c>
      <c r="G107" s="158" t="s">
        <v>129</v>
      </c>
      <c r="H107" s="158" t="s">
        <v>1</v>
      </c>
      <c r="I107" s="140">
        <f>I108</f>
        <v>4647000</v>
      </c>
      <c r="J107" s="140">
        <f t="shared" ref="J107" si="33">J108</f>
        <v>4486007.8099999996</v>
      </c>
      <c r="K107" s="140">
        <f t="shared" si="25"/>
        <v>96.535567247686672</v>
      </c>
    </row>
    <row r="108" spans="1:11" ht="25.5">
      <c r="A108" s="51" t="s">
        <v>1110</v>
      </c>
      <c r="B108" s="376" t="s">
        <v>66</v>
      </c>
      <c r="C108" s="148" t="s">
        <v>126</v>
      </c>
      <c r="D108" s="148" t="s">
        <v>73</v>
      </c>
      <c r="E108" s="150" t="s">
        <v>215</v>
      </c>
      <c r="F108" s="148" t="s">
        <v>127</v>
      </c>
      <c r="G108" s="148" t="s">
        <v>129</v>
      </c>
      <c r="H108" s="148" t="s">
        <v>1</v>
      </c>
      <c r="I108" s="140">
        <f t="shared" ref="I108:J108" si="34">+I109</f>
        <v>4647000</v>
      </c>
      <c r="J108" s="140">
        <f t="shared" si="34"/>
        <v>4486007.8099999996</v>
      </c>
      <c r="K108" s="140">
        <f t="shared" si="25"/>
        <v>96.535567247686672</v>
      </c>
    </row>
    <row r="109" spans="1:11" ht="51">
      <c r="A109" s="395" t="s">
        <v>1172</v>
      </c>
      <c r="B109" s="376" t="s">
        <v>66</v>
      </c>
      <c r="C109" s="148" t="s">
        <v>126</v>
      </c>
      <c r="D109" s="148" t="s">
        <v>73</v>
      </c>
      <c r="E109" s="150" t="s">
        <v>251</v>
      </c>
      <c r="F109" s="148" t="s">
        <v>227</v>
      </c>
      <c r="G109" s="148" t="s">
        <v>129</v>
      </c>
      <c r="H109" s="148" t="s">
        <v>1</v>
      </c>
      <c r="I109" s="139">
        <f>3000000+1647000</f>
        <v>4647000</v>
      </c>
      <c r="J109" s="139">
        <v>4486007.8099999996</v>
      </c>
      <c r="K109" s="140">
        <f t="shared" si="25"/>
        <v>96.535567247686672</v>
      </c>
    </row>
    <row r="110" spans="1:11">
      <c r="A110" s="51" t="s">
        <v>2</v>
      </c>
      <c r="B110" s="376" t="s">
        <v>162</v>
      </c>
      <c r="C110" s="148" t="s">
        <v>126</v>
      </c>
      <c r="D110" s="148" t="s">
        <v>124</v>
      </c>
      <c r="E110" s="150" t="s">
        <v>128</v>
      </c>
      <c r="F110" s="148" t="s">
        <v>127</v>
      </c>
      <c r="G110" s="148" t="s">
        <v>129</v>
      </c>
      <c r="H110" s="148" t="s">
        <v>162</v>
      </c>
      <c r="I110" s="140">
        <f>I111+I157+I172+I150</f>
        <v>9839143.4499999993</v>
      </c>
      <c r="J110" s="140">
        <f>J111+J157+J172+J150</f>
        <v>9804079.790000001</v>
      </c>
      <c r="K110" s="140">
        <f t="shared" si="25"/>
        <v>99.643630970742706</v>
      </c>
    </row>
    <row r="111" spans="1:11" ht="25.5">
      <c r="A111" s="395" t="s">
        <v>1385</v>
      </c>
      <c r="B111" s="376" t="s">
        <v>162</v>
      </c>
      <c r="C111" s="148" t="s">
        <v>126</v>
      </c>
      <c r="D111" s="148" t="s">
        <v>124</v>
      </c>
      <c r="E111" s="150" t="s">
        <v>132</v>
      </c>
      <c r="F111" s="148" t="s">
        <v>131</v>
      </c>
      <c r="G111" s="148" t="s">
        <v>129</v>
      </c>
      <c r="H111" s="148" t="s">
        <v>125</v>
      </c>
      <c r="I111" s="140">
        <f>I112+I116+I120+I123+I132+I135+I138+I141+I145+I129+I126</f>
        <v>5691176</v>
      </c>
      <c r="J111" s="140">
        <f>J112+J116+J120+J123+J132+J135+J138+J141+J145+J129+J126</f>
        <v>5679987.4500000011</v>
      </c>
      <c r="K111" s="140">
        <f t="shared" si="25"/>
        <v>99.803405306741539</v>
      </c>
    </row>
    <row r="112" spans="1:11" ht="38.25">
      <c r="A112" s="51" t="s">
        <v>1672</v>
      </c>
      <c r="B112" s="376" t="s">
        <v>162</v>
      </c>
      <c r="C112" s="148" t="s">
        <v>126</v>
      </c>
      <c r="D112" s="148" t="s">
        <v>124</v>
      </c>
      <c r="E112" s="150" t="s">
        <v>1673</v>
      </c>
      <c r="F112" s="148" t="s">
        <v>131</v>
      </c>
      <c r="G112" s="148" t="s">
        <v>129</v>
      </c>
      <c r="H112" s="148" t="s">
        <v>125</v>
      </c>
      <c r="I112" s="140">
        <f t="shared" ref="I112:J112" si="35">I113</f>
        <v>81384</v>
      </c>
      <c r="J112" s="140">
        <f t="shared" si="35"/>
        <v>79048.12000000001</v>
      </c>
      <c r="K112" s="140">
        <f t="shared" si="25"/>
        <v>97.129804384154156</v>
      </c>
    </row>
    <row r="113" spans="1:11" ht="63.75">
      <c r="A113" s="395" t="s">
        <v>1674</v>
      </c>
      <c r="B113" s="376" t="s">
        <v>162</v>
      </c>
      <c r="C113" s="148" t="s">
        <v>126</v>
      </c>
      <c r="D113" s="148" t="s">
        <v>124</v>
      </c>
      <c r="E113" s="150" t="s">
        <v>1675</v>
      </c>
      <c r="F113" s="148" t="s">
        <v>131</v>
      </c>
      <c r="G113" s="148" t="s">
        <v>129</v>
      </c>
      <c r="H113" s="148" t="s">
        <v>125</v>
      </c>
      <c r="I113" s="140">
        <f>SUM(I114:I115)</f>
        <v>81384</v>
      </c>
      <c r="J113" s="140">
        <f>SUM(J114:J115)</f>
        <v>79048.12000000001</v>
      </c>
      <c r="K113" s="140">
        <f t="shared" si="25"/>
        <v>97.129804384154156</v>
      </c>
    </row>
    <row r="114" spans="1:11" ht="63.75">
      <c r="A114" s="395" t="s">
        <v>1674</v>
      </c>
      <c r="B114" s="376" t="s">
        <v>2272</v>
      </c>
      <c r="C114" s="148" t="s">
        <v>126</v>
      </c>
      <c r="D114" s="148" t="s">
        <v>124</v>
      </c>
      <c r="E114" s="150" t="s">
        <v>1675</v>
      </c>
      <c r="F114" s="148" t="s">
        <v>131</v>
      </c>
      <c r="G114" s="148" t="s">
        <v>129</v>
      </c>
      <c r="H114" s="148" t="s">
        <v>125</v>
      </c>
      <c r="I114" s="140">
        <v>7534</v>
      </c>
      <c r="J114" s="140">
        <v>6460.27</v>
      </c>
      <c r="K114" s="140">
        <f t="shared" si="25"/>
        <v>85.748208123174948</v>
      </c>
    </row>
    <row r="115" spans="1:11" ht="63.75">
      <c r="A115" s="395" t="s">
        <v>1674</v>
      </c>
      <c r="B115" s="376" t="s">
        <v>2273</v>
      </c>
      <c r="C115" s="148" t="s">
        <v>126</v>
      </c>
      <c r="D115" s="148" t="s">
        <v>124</v>
      </c>
      <c r="E115" s="150" t="s">
        <v>1675</v>
      </c>
      <c r="F115" s="148" t="s">
        <v>131</v>
      </c>
      <c r="G115" s="148" t="s">
        <v>129</v>
      </c>
      <c r="H115" s="148" t="s">
        <v>125</v>
      </c>
      <c r="I115" s="140">
        <v>73850</v>
      </c>
      <c r="J115" s="140">
        <v>72587.850000000006</v>
      </c>
      <c r="K115" s="140">
        <f t="shared" si="25"/>
        <v>98.290927555856484</v>
      </c>
    </row>
    <row r="116" spans="1:11" ht="63.75">
      <c r="A116" s="51" t="s">
        <v>1386</v>
      </c>
      <c r="B116" s="376" t="s">
        <v>162</v>
      </c>
      <c r="C116" s="148" t="s">
        <v>126</v>
      </c>
      <c r="D116" s="148" t="s">
        <v>124</v>
      </c>
      <c r="E116" s="150" t="s">
        <v>1387</v>
      </c>
      <c r="F116" s="148" t="s">
        <v>131</v>
      </c>
      <c r="G116" s="148" t="s">
        <v>129</v>
      </c>
      <c r="H116" s="148" t="s">
        <v>125</v>
      </c>
      <c r="I116" s="139">
        <f t="shared" ref="I116:J116" si="36">I117</f>
        <v>334967</v>
      </c>
      <c r="J116" s="139">
        <f t="shared" si="36"/>
        <v>344007.16</v>
      </c>
      <c r="K116" s="140">
        <f t="shared" si="25"/>
        <v>102.69882107789724</v>
      </c>
    </row>
    <row r="117" spans="1:11" ht="76.5">
      <c r="A117" s="395" t="s">
        <v>1388</v>
      </c>
      <c r="B117" s="376" t="s">
        <v>162</v>
      </c>
      <c r="C117" s="148" t="s">
        <v>126</v>
      </c>
      <c r="D117" s="148" t="s">
        <v>124</v>
      </c>
      <c r="E117" s="150" t="s">
        <v>1389</v>
      </c>
      <c r="F117" s="148" t="s">
        <v>131</v>
      </c>
      <c r="G117" s="148" t="s">
        <v>129</v>
      </c>
      <c r="H117" s="148" t="s">
        <v>125</v>
      </c>
      <c r="I117" s="140">
        <f>SUM(I118:I119)</f>
        <v>334967</v>
      </c>
      <c r="J117" s="140">
        <f>SUM(J118:J119)</f>
        <v>344007.16</v>
      </c>
      <c r="K117" s="140">
        <f t="shared" si="25"/>
        <v>102.69882107789724</v>
      </c>
    </row>
    <row r="118" spans="1:11" ht="76.5">
      <c r="A118" s="395" t="s">
        <v>1388</v>
      </c>
      <c r="B118" s="376" t="s">
        <v>2272</v>
      </c>
      <c r="C118" s="148" t="s">
        <v>126</v>
      </c>
      <c r="D118" s="148" t="s">
        <v>124</v>
      </c>
      <c r="E118" s="150" t="s">
        <v>1389</v>
      </c>
      <c r="F118" s="148" t="s">
        <v>131</v>
      </c>
      <c r="G118" s="148" t="s">
        <v>129</v>
      </c>
      <c r="H118" s="148" t="s">
        <v>125</v>
      </c>
      <c r="I118" s="140">
        <v>12717</v>
      </c>
      <c r="J118" s="140">
        <v>12509.17</v>
      </c>
      <c r="K118" s="140">
        <f t="shared" si="25"/>
        <v>98.365730911378463</v>
      </c>
    </row>
    <row r="119" spans="1:11" ht="76.5">
      <c r="A119" s="395" t="s">
        <v>1388</v>
      </c>
      <c r="B119" s="376" t="s">
        <v>2273</v>
      </c>
      <c r="C119" s="148" t="s">
        <v>126</v>
      </c>
      <c r="D119" s="148" t="s">
        <v>124</v>
      </c>
      <c r="E119" s="150" t="s">
        <v>1389</v>
      </c>
      <c r="F119" s="148" t="s">
        <v>131</v>
      </c>
      <c r="G119" s="148" t="s">
        <v>129</v>
      </c>
      <c r="H119" s="148" t="s">
        <v>125</v>
      </c>
      <c r="I119" s="140">
        <v>322250</v>
      </c>
      <c r="J119" s="140">
        <v>331497.99</v>
      </c>
      <c r="K119" s="140">
        <f t="shared" si="25"/>
        <v>102.86981846392551</v>
      </c>
    </row>
    <row r="120" spans="1:11" ht="38.25">
      <c r="A120" s="7" t="s">
        <v>1676</v>
      </c>
      <c r="B120" s="376" t="s">
        <v>162</v>
      </c>
      <c r="C120" s="148" t="s">
        <v>126</v>
      </c>
      <c r="D120" s="148" t="s">
        <v>124</v>
      </c>
      <c r="E120" s="150" t="s">
        <v>1677</v>
      </c>
      <c r="F120" s="148" t="s">
        <v>131</v>
      </c>
      <c r="G120" s="148" t="s">
        <v>129</v>
      </c>
      <c r="H120" s="148" t="s">
        <v>125</v>
      </c>
      <c r="I120" s="139">
        <f t="shared" ref="I120:J120" si="37">I121</f>
        <v>25550</v>
      </c>
      <c r="J120" s="139">
        <f t="shared" si="37"/>
        <v>25814.61</v>
      </c>
      <c r="K120" s="140">
        <f t="shared" si="25"/>
        <v>101.03565557729941</v>
      </c>
    </row>
    <row r="121" spans="1:11" ht="63.75">
      <c r="A121" s="256" t="s">
        <v>1678</v>
      </c>
      <c r="B121" s="376" t="s">
        <v>162</v>
      </c>
      <c r="C121" s="148" t="s">
        <v>126</v>
      </c>
      <c r="D121" s="148" t="s">
        <v>124</v>
      </c>
      <c r="E121" s="150" t="s">
        <v>1679</v>
      </c>
      <c r="F121" s="148" t="s">
        <v>131</v>
      </c>
      <c r="G121" s="148" t="s">
        <v>129</v>
      </c>
      <c r="H121" s="148" t="s">
        <v>125</v>
      </c>
      <c r="I121" s="140">
        <f>I122</f>
        <v>25550</v>
      </c>
      <c r="J121" s="140">
        <f>J122</f>
        <v>25814.61</v>
      </c>
      <c r="K121" s="140">
        <f t="shared" si="25"/>
        <v>101.03565557729941</v>
      </c>
    </row>
    <row r="122" spans="1:11" ht="63.75">
      <c r="A122" s="256" t="s">
        <v>1678</v>
      </c>
      <c r="B122" s="376" t="s">
        <v>2273</v>
      </c>
      <c r="C122" s="148" t="s">
        <v>126</v>
      </c>
      <c r="D122" s="148" t="s">
        <v>124</v>
      </c>
      <c r="E122" s="150" t="s">
        <v>1679</v>
      </c>
      <c r="F122" s="148" t="s">
        <v>131</v>
      </c>
      <c r="G122" s="148" t="s">
        <v>129</v>
      </c>
      <c r="H122" s="148" t="s">
        <v>125</v>
      </c>
      <c r="I122" s="140">
        <v>25550</v>
      </c>
      <c r="J122" s="140">
        <v>25814.61</v>
      </c>
      <c r="K122" s="140">
        <f t="shared" si="25"/>
        <v>101.03565557729941</v>
      </c>
    </row>
    <row r="123" spans="1:11" ht="51">
      <c r="A123" s="151" t="s">
        <v>1390</v>
      </c>
      <c r="B123" s="378" t="s">
        <v>162</v>
      </c>
      <c r="C123" s="160" t="s">
        <v>126</v>
      </c>
      <c r="D123" s="160" t="s">
        <v>124</v>
      </c>
      <c r="E123" s="161" t="s">
        <v>1391</v>
      </c>
      <c r="F123" s="160" t="s">
        <v>131</v>
      </c>
      <c r="G123" s="160" t="s">
        <v>129</v>
      </c>
      <c r="H123" s="160" t="s">
        <v>125</v>
      </c>
      <c r="I123" s="140">
        <f t="shared" ref="I123:J123" si="38">I124</f>
        <v>3226250</v>
      </c>
      <c r="J123" s="140">
        <f t="shared" si="38"/>
        <v>3175252.69</v>
      </c>
      <c r="K123" s="140">
        <f t="shared" si="25"/>
        <v>98.41930073614877</v>
      </c>
    </row>
    <row r="124" spans="1:11" ht="63.75">
      <c r="A124" s="206" t="s">
        <v>1392</v>
      </c>
      <c r="B124" s="378" t="s">
        <v>162</v>
      </c>
      <c r="C124" s="160" t="s">
        <v>126</v>
      </c>
      <c r="D124" s="160" t="s">
        <v>124</v>
      </c>
      <c r="E124" s="161" t="s">
        <v>1881</v>
      </c>
      <c r="F124" s="160" t="s">
        <v>131</v>
      </c>
      <c r="G124" s="160" t="s">
        <v>129</v>
      </c>
      <c r="H124" s="160" t="s">
        <v>125</v>
      </c>
      <c r="I124" s="140">
        <f>I125</f>
        <v>3226250</v>
      </c>
      <c r="J124" s="140">
        <f>J125</f>
        <v>3175252.69</v>
      </c>
      <c r="K124" s="140">
        <f t="shared" si="25"/>
        <v>98.41930073614877</v>
      </c>
    </row>
    <row r="125" spans="1:11" ht="63.75">
      <c r="A125" s="206" t="s">
        <v>1392</v>
      </c>
      <c r="B125" s="378" t="s">
        <v>2273</v>
      </c>
      <c r="C125" s="160" t="s">
        <v>126</v>
      </c>
      <c r="D125" s="160" t="s">
        <v>124</v>
      </c>
      <c r="E125" s="161" t="s">
        <v>1881</v>
      </c>
      <c r="F125" s="160" t="s">
        <v>131</v>
      </c>
      <c r="G125" s="160" t="s">
        <v>129</v>
      </c>
      <c r="H125" s="160" t="s">
        <v>125</v>
      </c>
      <c r="I125" s="140">
        <v>3226250</v>
      </c>
      <c r="J125" s="140">
        <v>3175252.69</v>
      </c>
      <c r="K125" s="140">
        <f t="shared" si="25"/>
        <v>98.41930073614877</v>
      </c>
    </row>
    <row r="126" spans="1:11" ht="51">
      <c r="A126" s="206" t="s">
        <v>2276</v>
      </c>
      <c r="B126" s="378" t="s">
        <v>162</v>
      </c>
      <c r="C126" s="160" t="s">
        <v>126</v>
      </c>
      <c r="D126" s="160" t="s">
        <v>124</v>
      </c>
      <c r="E126" s="161" t="s">
        <v>2274</v>
      </c>
      <c r="F126" s="160" t="s">
        <v>131</v>
      </c>
      <c r="G126" s="160" t="s">
        <v>129</v>
      </c>
      <c r="H126" s="160" t="s">
        <v>125</v>
      </c>
      <c r="I126" s="140">
        <f>I127</f>
        <v>0</v>
      </c>
      <c r="J126" s="140">
        <f>J127</f>
        <v>750</v>
      </c>
      <c r="K126" s="140"/>
    </row>
    <row r="127" spans="1:11" ht="63.75">
      <c r="A127" s="206" t="s">
        <v>2277</v>
      </c>
      <c r="B127" s="378" t="s">
        <v>162</v>
      </c>
      <c r="C127" s="160" t="s">
        <v>126</v>
      </c>
      <c r="D127" s="160" t="s">
        <v>124</v>
      </c>
      <c r="E127" s="161" t="s">
        <v>2275</v>
      </c>
      <c r="F127" s="160" t="s">
        <v>131</v>
      </c>
      <c r="G127" s="160" t="s">
        <v>129</v>
      </c>
      <c r="H127" s="160" t="s">
        <v>125</v>
      </c>
      <c r="I127" s="140">
        <f>I128</f>
        <v>0</v>
      </c>
      <c r="J127" s="140">
        <f>J128</f>
        <v>750</v>
      </c>
      <c r="K127" s="140"/>
    </row>
    <row r="128" spans="1:11" ht="63.75">
      <c r="A128" s="206" t="s">
        <v>2277</v>
      </c>
      <c r="B128" s="378" t="s">
        <v>2273</v>
      </c>
      <c r="C128" s="160" t="s">
        <v>126</v>
      </c>
      <c r="D128" s="160" t="s">
        <v>124</v>
      </c>
      <c r="E128" s="161" t="s">
        <v>2275</v>
      </c>
      <c r="F128" s="160" t="s">
        <v>131</v>
      </c>
      <c r="G128" s="160" t="s">
        <v>129</v>
      </c>
      <c r="H128" s="160" t="s">
        <v>125</v>
      </c>
      <c r="I128" s="140">
        <v>0</v>
      </c>
      <c r="J128" s="140">
        <v>750</v>
      </c>
      <c r="K128" s="140"/>
    </row>
    <row r="129" spans="1:11" ht="38.25">
      <c r="A129" s="206" t="s">
        <v>2244</v>
      </c>
      <c r="B129" s="378" t="s">
        <v>162</v>
      </c>
      <c r="C129" s="160" t="s">
        <v>126</v>
      </c>
      <c r="D129" s="160" t="s">
        <v>124</v>
      </c>
      <c r="E129" s="161" t="s">
        <v>2246</v>
      </c>
      <c r="F129" s="160" t="s">
        <v>131</v>
      </c>
      <c r="G129" s="160" t="s">
        <v>129</v>
      </c>
      <c r="H129" s="160" t="s">
        <v>125</v>
      </c>
      <c r="I129" s="140">
        <f>I130</f>
        <v>6000</v>
      </c>
      <c r="J129" s="140">
        <f>J130</f>
        <v>6000</v>
      </c>
      <c r="K129" s="140">
        <f t="shared" si="25"/>
        <v>100</v>
      </c>
    </row>
    <row r="130" spans="1:11" ht="63.75">
      <c r="A130" s="206" t="s">
        <v>2245</v>
      </c>
      <c r="B130" s="378" t="s">
        <v>162</v>
      </c>
      <c r="C130" s="160" t="s">
        <v>126</v>
      </c>
      <c r="D130" s="160" t="s">
        <v>124</v>
      </c>
      <c r="E130" s="161" t="s">
        <v>2247</v>
      </c>
      <c r="F130" s="160" t="s">
        <v>131</v>
      </c>
      <c r="G130" s="160" t="s">
        <v>129</v>
      </c>
      <c r="H130" s="160" t="s">
        <v>125</v>
      </c>
      <c r="I130" s="140">
        <f>I131</f>
        <v>6000</v>
      </c>
      <c r="J130" s="140">
        <f>J131</f>
        <v>6000</v>
      </c>
      <c r="K130" s="140">
        <f t="shared" si="25"/>
        <v>100</v>
      </c>
    </row>
    <row r="131" spans="1:11" ht="63.75">
      <c r="A131" s="206" t="s">
        <v>2245</v>
      </c>
      <c r="B131" s="378" t="s">
        <v>2273</v>
      </c>
      <c r="C131" s="160" t="s">
        <v>126</v>
      </c>
      <c r="D131" s="160" t="s">
        <v>124</v>
      </c>
      <c r="E131" s="161" t="s">
        <v>2247</v>
      </c>
      <c r="F131" s="160" t="s">
        <v>131</v>
      </c>
      <c r="G131" s="160" t="s">
        <v>129</v>
      </c>
      <c r="H131" s="160" t="s">
        <v>125</v>
      </c>
      <c r="I131" s="140">
        <v>6000</v>
      </c>
      <c r="J131" s="140">
        <v>6000</v>
      </c>
      <c r="K131" s="140">
        <f t="shared" si="25"/>
        <v>100</v>
      </c>
    </row>
    <row r="132" spans="1:11" ht="51">
      <c r="A132" s="151" t="s">
        <v>1680</v>
      </c>
      <c r="B132" s="378" t="s">
        <v>162</v>
      </c>
      <c r="C132" s="160" t="s">
        <v>126</v>
      </c>
      <c r="D132" s="160" t="s">
        <v>124</v>
      </c>
      <c r="E132" s="161" t="s">
        <v>1681</v>
      </c>
      <c r="F132" s="160" t="s">
        <v>131</v>
      </c>
      <c r="G132" s="160" t="s">
        <v>129</v>
      </c>
      <c r="H132" s="160" t="s">
        <v>125</v>
      </c>
      <c r="I132" s="139">
        <f t="shared" ref="I132:J132" si="39">I133</f>
        <v>211400</v>
      </c>
      <c r="J132" s="139">
        <f t="shared" si="39"/>
        <v>213296.38</v>
      </c>
      <c r="K132" s="140">
        <f t="shared" si="25"/>
        <v>100.89705771050141</v>
      </c>
    </row>
    <row r="133" spans="1:11" ht="76.5">
      <c r="A133" s="206" t="s">
        <v>1682</v>
      </c>
      <c r="B133" s="378" t="s">
        <v>162</v>
      </c>
      <c r="C133" s="160" t="s">
        <v>126</v>
      </c>
      <c r="D133" s="160" t="s">
        <v>124</v>
      </c>
      <c r="E133" s="161" t="s">
        <v>1683</v>
      </c>
      <c r="F133" s="160" t="s">
        <v>227</v>
      </c>
      <c r="G133" s="160" t="s">
        <v>129</v>
      </c>
      <c r="H133" s="160" t="s">
        <v>125</v>
      </c>
      <c r="I133" s="140">
        <f>I134</f>
        <v>211400</v>
      </c>
      <c r="J133" s="140">
        <f>J134</f>
        <v>213296.38</v>
      </c>
      <c r="K133" s="140">
        <f t="shared" si="25"/>
        <v>100.89705771050141</v>
      </c>
    </row>
    <row r="134" spans="1:11" ht="76.5">
      <c r="A134" s="206" t="s">
        <v>1682</v>
      </c>
      <c r="B134" s="378" t="s">
        <v>2273</v>
      </c>
      <c r="C134" s="160" t="s">
        <v>126</v>
      </c>
      <c r="D134" s="160" t="s">
        <v>124</v>
      </c>
      <c r="E134" s="161" t="s">
        <v>1683</v>
      </c>
      <c r="F134" s="160" t="s">
        <v>227</v>
      </c>
      <c r="G134" s="160" t="s">
        <v>129</v>
      </c>
      <c r="H134" s="160" t="s">
        <v>125</v>
      </c>
      <c r="I134" s="140">
        <v>211400</v>
      </c>
      <c r="J134" s="140">
        <v>213296.38</v>
      </c>
      <c r="K134" s="140">
        <f t="shared" si="25"/>
        <v>100.89705771050141</v>
      </c>
    </row>
    <row r="135" spans="1:11" ht="51">
      <c r="A135" s="51" t="s">
        <v>1863</v>
      </c>
      <c r="B135" s="378" t="s">
        <v>162</v>
      </c>
      <c r="C135" s="160" t="s">
        <v>126</v>
      </c>
      <c r="D135" s="160" t="s">
        <v>124</v>
      </c>
      <c r="E135" s="161" t="s">
        <v>1875</v>
      </c>
      <c r="F135" s="160" t="s">
        <v>127</v>
      </c>
      <c r="G135" s="160" t="s">
        <v>129</v>
      </c>
      <c r="H135" s="160" t="s">
        <v>125</v>
      </c>
      <c r="I135" s="139">
        <f t="shared" ref="I135:J135" si="40">I136</f>
        <v>31050</v>
      </c>
      <c r="J135" s="139">
        <f t="shared" si="40"/>
        <v>33012.410000000003</v>
      </c>
      <c r="K135" s="140">
        <f t="shared" si="25"/>
        <v>106.32016103059583</v>
      </c>
    </row>
    <row r="136" spans="1:11" ht="89.25">
      <c r="A136" s="230" t="s">
        <v>1864</v>
      </c>
      <c r="B136" s="378" t="s">
        <v>162</v>
      </c>
      <c r="C136" s="160" t="s">
        <v>126</v>
      </c>
      <c r="D136" s="160" t="s">
        <v>124</v>
      </c>
      <c r="E136" s="161" t="s">
        <v>1876</v>
      </c>
      <c r="F136" s="160" t="s">
        <v>131</v>
      </c>
      <c r="G136" s="160" t="s">
        <v>129</v>
      </c>
      <c r="H136" s="160" t="s">
        <v>125</v>
      </c>
      <c r="I136" s="139">
        <f>I137</f>
        <v>31050</v>
      </c>
      <c r="J136" s="139">
        <f>J137</f>
        <v>33012.410000000003</v>
      </c>
      <c r="K136" s="140">
        <f t="shared" si="25"/>
        <v>106.32016103059583</v>
      </c>
    </row>
    <row r="137" spans="1:11" ht="89.25">
      <c r="A137" s="230" t="s">
        <v>1864</v>
      </c>
      <c r="B137" s="378" t="s">
        <v>2273</v>
      </c>
      <c r="C137" s="160" t="s">
        <v>126</v>
      </c>
      <c r="D137" s="160" t="s">
        <v>124</v>
      </c>
      <c r="E137" s="161" t="s">
        <v>1876</v>
      </c>
      <c r="F137" s="160" t="s">
        <v>131</v>
      </c>
      <c r="G137" s="160" t="s">
        <v>129</v>
      </c>
      <c r="H137" s="160" t="s">
        <v>125</v>
      </c>
      <c r="I137" s="139">
        <v>31050</v>
      </c>
      <c r="J137" s="139">
        <v>33012.410000000003</v>
      </c>
      <c r="K137" s="140">
        <f t="shared" ref="K137:K200" si="41">J137/I137*100</f>
        <v>106.32016103059583</v>
      </c>
    </row>
    <row r="138" spans="1:11" ht="51">
      <c r="A138" s="230" t="s">
        <v>1865</v>
      </c>
      <c r="B138" s="378" t="s">
        <v>162</v>
      </c>
      <c r="C138" s="160" t="s">
        <v>126</v>
      </c>
      <c r="D138" s="160" t="s">
        <v>124</v>
      </c>
      <c r="E138" s="161" t="s">
        <v>1877</v>
      </c>
      <c r="F138" s="160" t="s">
        <v>131</v>
      </c>
      <c r="G138" s="160" t="s">
        <v>129</v>
      </c>
      <c r="H138" s="160" t="s">
        <v>125</v>
      </c>
      <c r="I138" s="139">
        <f t="shared" ref="I138:J138" si="42">I139</f>
        <v>4300</v>
      </c>
      <c r="J138" s="139">
        <f t="shared" si="42"/>
        <v>4290.2</v>
      </c>
      <c r="K138" s="140">
        <f t="shared" si="41"/>
        <v>99.77209302325582</v>
      </c>
    </row>
    <row r="139" spans="1:11" ht="63.75">
      <c r="A139" s="230" t="s">
        <v>1866</v>
      </c>
      <c r="B139" s="378" t="s">
        <v>162</v>
      </c>
      <c r="C139" s="160" t="s">
        <v>126</v>
      </c>
      <c r="D139" s="160" t="s">
        <v>124</v>
      </c>
      <c r="E139" s="161" t="s">
        <v>1878</v>
      </c>
      <c r="F139" s="160" t="s">
        <v>131</v>
      </c>
      <c r="G139" s="160" t="s">
        <v>129</v>
      </c>
      <c r="H139" s="160" t="s">
        <v>125</v>
      </c>
      <c r="I139" s="139">
        <f>I140</f>
        <v>4300</v>
      </c>
      <c r="J139" s="139">
        <f>J140</f>
        <v>4290.2</v>
      </c>
      <c r="K139" s="140">
        <f t="shared" si="41"/>
        <v>99.77209302325582</v>
      </c>
    </row>
    <row r="140" spans="1:11" ht="63.75">
      <c r="A140" s="230" t="s">
        <v>1866</v>
      </c>
      <c r="B140" s="378" t="s">
        <v>2273</v>
      </c>
      <c r="C140" s="160" t="s">
        <v>126</v>
      </c>
      <c r="D140" s="160" t="s">
        <v>124</v>
      </c>
      <c r="E140" s="161" t="s">
        <v>1878</v>
      </c>
      <c r="F140" s="160" t="s">
        <v>131</v>
      </c>
      <c r="G140" s="160" t="s">
        <v>129</v>
      </c>
      <c r="H140" s="160" t="s">
        <v>125</v>
      </c>
      <c r="I140" s="139">
        <v>4300</v>
      </c>
      <c r="J140" s="139">
        <v>4290.2</v>
      </c>
      <c r="K140" s="140">
        <f t="shared" si="41"/>
        <v>99.77209302325582</v>
      </c>
    </row>
    <row r="141" spans="1:11" ht="38.25">
      <c r="A141" s="230" t="s">
        <v>1684</v>
      </c>
      <c r="B141" s="378" t="s">
        <v>162</v>
      </c>
      <c r="C141" s="160" t="s">
        <v>126</v>
      </c>
      <c r="D141" s="160" t="s">
        <v>124</v>
      </c>
      <c r="E141" s="161" t="s">
        <v>1685</v>
      </c>
      <c r="F141" s="160" t="s">
        <v>131</v>
      </c>
      <c r="G141" s="160" t="s">
        <v>129</v>
      </c>
      <c r="H141" s="160" t="s">
        <v>125</v>
      </c>
      <c r="I141" s="139">
        <f t="shared" ref="I141:J141" si="43">I142</f>
        <v>215100</v>
      </c>
      <c r="J141" s="139">
        <f t="shared" si="43"/>
        <v>219259.44999999998</v>
      </c>
      <c r="K141" s="140">
        <f t="shared" si="41"/>
        <v>101.93372849837283</v>
      </c>
    </row>
    <row r="142" spans="1:11" ht="63.75">
      <c r="A142" s="230" t="s">
        <v>1686</v>
      </c>
      <c r="B142" s="378" t="s">
        <v>162</v>
      </c>
      <c r="C142" s="160" t="s">
        <v>126</v>
      </c>
      <c r="D142" s="160" t="s">
        <v>124</v>
      </c>
      <c r="E142" s="161" t="s">
        <v>1687</v>
      </c>
      <c r="F142" s="160" t="s">
        <v>131</v>
      </c>
      <c r="G142" s="160" t="s">
        <v>129</v>
      </c>
      <c r="H142" s="160" t="s">
        <v>125</v>
      </c>
      <c r="I142" s="139">
        <f>SUM(I143:I144)</f>
        <v>215100</v>
      </c>
      <c r="J142" s="139">
        <f>SUM(J143:J144)</f>
        <v>219259.44999999998</v>
      </c>
      <c r="K142" s="140">
        <f t="shared" si="41"/>
        <v>101.93372849837283</v>
      </c>
    </row>
    <row r="143" spans="1:11" ht="63.75">
      <c r="A143" s="230" t="s">
        <v>1686</v>
      </c>
      <c r="B143" s="378" t="s">
        <v>2272</v>
      </c>
      <c r="C143" s="160" t="s">
        <v>126</v>
      </c>
      <c r="D143" s="160" t="s">
        <v>124</v>
      </c>
      <c r="E143" s="161" t="s">
        <v>1687</v>
      </c>
      <c r="F143" s="160" t="s">
        <v>131</v>
      </c>
      <c r="G143" s="160" t="s">
        <v>129</v>
      </c>
      <c r="H143" s="160" t="s">
        <v>125</v>
      </c>
      <c r="I143" s="139">
        <v>100</v>
      </c>
      <c r="J143" s="139">
        <v>65.83</v>
      </c>
      <c r="K143" s="140">
        <f t="shared" si="41"/>
        <v>65.83</v>
      </c>
    </row>
    <row r="144" spans="1:11" ht="63.75">
      <c r="A144" s="230" t="s">
        <v>1686</v>
      </c>
      <c r="B144" s="378" t="s">
        <v>2273</v>
      </c>
      <c r="C144" s="160" t="s">
        <v>126</v>
      </c>
      <c r="D144" s="160" t="s">
        <v>124</v>
      </c>
      <c r="E144" s="161" t="s">
        <v>1687</v>
      </c>
      <c r="F144" s="160" t="s">
        <v>131</v>
      </c>
      <c r="G144" s="160" t="s">
        <v>129</v>
      </c>
      <c r="H144" s="160" t="s">
        <v>125</v>
      </c>
      <c r="I144" s="139">
        <v>215000</v>
      </c>
      <c r="J144" s="139">
        <v>219193.62</v>
      </c>
      <c r="K144" s="140">
        <f t="shared" si="41"/>
        <v>101.95052093023256</v>
      </c>
    </row>
    <row r="145" spans="1:11" ht="51">
      <c r="A145" s="230" t="s">
        <v>1688</v>
      </c>
      <c r="B145" s="378" t="s">
        <v>162</v>
      </c>
      <c r="C145" s="160" t="s">
        <v>126</v>
      </c>
      <c r="D145" s="160" t="s">
        <v>124</v>
      </c>
      <c r="E145" s="161" t="s">
        <v>1689</v>
      </c>
      <c r="F145" s="160" t="s">
        <v>131</v>
      </c>
      <c r="G145" s="160" t="s">
        <v>129</v>
      </c>
      <c r="H145" s="160" t="s">
        <v>125</v>
      </c>
      <c r="I145" s="139">
        <f t="shared" ref="I145:J145" si="44">I146</f>
        <v>1555175</v>
      </c>
      <c r="J145" s="139">
        <f t="shared" si="44"/>
        <v>1579256.4300000002</v>
      </c>
      <c r="K145" s="140">
        <f t="shared" si="41"/>
        <v>101.54847075088014</v>
      </c>
    </row>
    <row r="146" spans="1:11" ht="76.5">
      <c r="A146" s="230" t="s">
        <v>1690</v>
      </c>
      <c r="B146" s="378" t="s">
        <v>162</v>
      </c>
      <c r="C146" s="160" t="s">
        <v>126</v>
      </c>
      <c r="D146" s="160" t="s">
        <v>124</v>
      </c>
      <c r="E146" s="161" t="s">
        <v>1691</v>
      </c>
      <c r="F146" s="160" t="s">
        <v>131</v>
      </c>
      <c r="G146" s="160" t="s">
        <v>129</v>
      </c>
      <c r="H146" s="160" t="s">
        <v>125</v>
      </c>
      <c r="I146" s="139">
        <f>SUM(I147:I149)</f>
        <v>1555175</v>
      </c>
      <c r="J146" s="139">
        <f>SUM(J147:J149)</f>
        <v>1579256.4300000002</v>
      </c>
      <c r="K146" s="140">
        <f t="shared" si="41"/>
        <v>101.54847075088014</v>
      </c>
    </row>
    <row r="147" spans="1:11" ht="76.5">
      <c r="A147" s="230" t="s">
        <v>1690</v>
      </c>
      <c r="B147" s="378" t="s">
        <v>821</v>
      </c>
      <c r="C147" s="160" t="s">
        <v>126</v>
      </c>
      <c r="D147" s="160" t="s">
        <v>124</v>
      </c>
      <c r="E147" s="161" t="s">
        <v>1691</v>
      </c>
      <c r="F147" s="160" t="s">
        <v>131</v>
      </c>
      <c r="G147" s="160" t="s">
        <v>129</v>
      </c>
      <c r="H147" s="160" t="s">
        <v>125</v>
      </c>
      <c r="I147" s="139">
        <v>0</v>
      </c>
      <c r="J147" s="139">
        <v>2000</v>
      </c>
      <c r="K147" s="140"/>
    </row>
    <row r="148" spans="1:11" ht="76.5">
      <c r="A148" s="230" t="s">
        <v>1690</v>
      </c>
      <c r="B148" s="378" t="s">
        <v>2272</v>
      </c>
      <c r="C148" s="160" t="s">
        <v>126</v>
      </c>
      <c r="D148" s="160" t="s">
        <v>124</v>
      </c>
      <c r="E148" s="161" t="s">
        <v>1691</v>
      </c>
      <c r="F148" s="160" t="s">
        <v>131</v>
      </c>
      <c r="G148" s="160" t="s">
        <v>129</v>
      </c>
      <c r="H148" s="160" t="s">
        <v>125</v>
      </c>
      <c r="I148" s="139">
        <v>9525</v>
      </c>
      <c r="J148" s="139">
        <v>9452.35</v>
      </c>
      <c r="K148" s="140">
        <f t="shared" si="41"/>
        <v>99.237270341207349</v>
      </c>
    </row>
    <row r="149" spans="1:11" ht="76.5">
      <c r="A149" s="230" t="s">
        <v>1690</v>
      </c>
      <c r="B149" s="378" t="s">
        <v>2273</v>
      </c>
      <c r="C149" s="160" t="s">
        <v>126</v>
      </c>
      <c r="D149" s="160" t="s">
        <v>124</v>
      </c>
      <c r="E149" s="161" t="s">
        <v>1691</v>
      </c>
      <c r="F149" s="160" t="s">
        <v>131</v>
      </c>
      <c r="G149" s="160" t="s">
        <v>129</v>
      </c>
      <c r="H149" s="160" t="s">
        <v>125</v>
      </c>
      <c r="I149" s="139">
        <v>1545650</v>
      </c>
      <c r="J149" s="139">
        <v>1567804.08</v>
      </c>
      <c r="K149" s="140">
        <f t="shared" si="41"/>
        <v>101.43331802154434</v>
      </c>
    </row>
    <row r="150" spans="1:11" ht="76.5">
      <c r="A150" s="230" t="s">
        <v>2248</v>
      </c>
      <c r="B150" s="378" t="s">
        <v>162</v>
      </c>
      <c r="C150" s="160" t="s">
        <v>126</v>
      </c>
      <c r="D150" s="160" t="s">
        <v>124</v>
      </c>
      <c r="E150" s="161" t="s">
        <v>206</v>
      </c>
      <c r="F150" s="160" t="s">
        <v>127</v>
      </c>
      <c r="G150" s="160" t="s">
        <v>129</v>
      </c>
      <c r="H150" s="160" t="s">
        <v>125</v>
      </c>
      <c r="I150" s="139">
        <f>I151</f>
        <v>67839.45</v>
      </c>
      <c r="J150" s="139">
        <f>J151</f>
        <v>67839.45</v>
      </c>
      <c r="K150" s="140">
        <f t="shared" si="41"/>
        <v>100</v>
      </c>
    </row>
    <row r="151" spans="1:11" ht="38.25">
      <c r="A151" s="230" t="s">
        <v>2249</v>
      </c>
      <c r="B151" s="378" t="s">
        <v>162</v>
      </c>
      <c r="C151" s="160" t="s">
        <v>126</v>
      </c>
      <c r="D151" s="160" t="s">
        <v>124</v>
      </c>
      <c r="E151" s="161" t="s">
        <v>197</v>
      </c>
      <c r="F151" s="160" t="s">
        <v>127</v>
      </c>
      <c r="G151" s="160" t="s">
        <v>129</v>
      </c>
      <c r="H151" s="160" t="s">
        <v>125</v>
      </c>
      <c r="I151" s="139">
        <f>I152</f>
        <v>67839.45</v>
      </c>
      <c r="J151" s="139">
        <f>J152</f>
        <v>67839.45</v>
      </c>
      <c r="K151" s="140">
        <f t="shared" si="41"/>
        <v>100</v>
      </c>
    </row>
    <row r="152" spans="1:11" ht="63.75">
      <c r="A152" s="230" t="s">
        <v>1426</v>
      </c>
      <c r="B152" s="378" t="s">
        <v>162</v>
      </c>
      <c r="C152" s="160" t="s">
        <v>126</v>
      </c>
      <c r="D152" s="160" t="s">
        <v>124</v>
      </c>
      <c r="E152" s="161" t="s">
        <v>197</v>
      </c>
      <c r="F152" s="160" t="s">
        <v>227</v>
      </c>
      <c r="G152" s="160" t="s">
        <v>129</v>
      </c>
      <c r="H152" s="160" t="s">
        <v>125</v>
      </c>
      <c r="I152" s="139">
        <f>SUM(I153:I156)</f>
        <v>67839.45</v>
      </c>
      <c r="J152" s="139">
        <f>SUM(J153:J156)</f>
        <v>67839.45</v>
      </c>
      <c r="K152" s="140">
        <f t="shared" si="41"/>
        <v>100</v>
      </c>
    </row>
    <row r="153" spans="1:11" ht="63.75">
      <c r="A153" s="230" t="s">
        <v>1426</v>
      </c>
      <c r="B153" s="378" t="s">
        <v>5</v>
      </c>
      <c r="C153" s="160" t="s">
        <v>126</v>
      </c>
      <c r="D153" s="160" t="s">
        <v>124</v>
      </c>
      <c r="E153" s="161" t="s">
        <v>197</v>
      </c>
      <c r="F153" s="160" t="s">
        <v>227</v>
      </c>
      <c r="G153" s="160" t="s">
        <v>129</v>
      </c>
      <c r="H153" s="160" t="s">
        <v>125</v>
      </c>
      <c r="I153" s="139">
        <v>21223.48</v>
      </c>
      <c r="J153" s="139">
        <v>21223.48</v>
      </c>
      <c r="K153" s="140">
        <f t="shared" si="41"/>
        <v>100</v>
      </c>
    </row>
    <row r="154" spans="1:11" ht="63.75">
      <c r="A154" s="230" t="s">
        <v>1426</v>
      </c>
      <c r="B154" s="378" t="s">
        <v>201</v>
      </c>
      <c r="C154" s="160" t="s">
        <v>126</v>
      </c>
      <c r="D154" s="160" t="s">
        <v>124</v>
      </c>
      <c r="E154" s="161" t="s">
        <v>197</v>
      </c>
      <c r="F154" s="160" t="s">
        <v>227</v>
      </c>
      <c r="G154" s="160" t="s">
        <v>129</v>
      </c>
      <c r="H154" s="160" t="s">
        <v>125</v>
      </c>
      <c r="I154" s="139">
        <v>40005.97</v>
      </c>
      <c r="J154" s="139">
        <v>40005.97</v>
      </c>
      <c r="K154" s="140">
        <f t="shared" si="41"/>
        <v>100</v>
      </c>
    </row>
    <row r="155" spans="1:11" ht="63.75">
      <c r="A155" s="230" t="s">
        <v>1426</v>
      </c>
      <c r="B155" s="378" t="s">
        <v>952</v>
      </c>
      <c r="C155" s="160" t="s">
        <v>126</v>
      </c>
      <c r="D155" s="160" t="s">
        <v>124</v>
      </c>
      <c r="E155" s="161" t="s">
        <v>197</v>
      </c>
      <c r="F155" s="160" t="s">
        <v>227</v>
      </c>
      <c r="G155" s="160" t="s">
        <v>129</v>
      </c>
      <c r="H155" s="160" t="s">
        <v>125</v>
      </c>
      <c r="I155" s="139">
        <v>1645.54</v>
      </c>
      <c r="J155" s="139">
        <v>1645.54</v>
      </c>
      <c r="K155" s="140">
        <f t="shared" si="41"/>
        <v>100</v>
      </c>
    </row>
    <row r="156" spans="1:11" ht="63.75">
      <c r="A156" s="230" t="s">
        <v>1426</v>
      </c>
      <c r="B156" s="378" t="s">
        <v>207</v>
      </c>
      <c r="C156" s="160" t="s">
        <v>126</v>
      </c>
      <c r="D156" s="160" t="s">
        <v>124</v>
      </c>
      <c r="E156" s="161" t="s">
        <v>197</v>
      </c>
      <c r="F156" s="160" t="s">
        <v>227</v>
      </c>
      <c r="G156" s="160" t="s">
        <v>129</v>
      </c>
      <c r="H156" s="160" t="s">
        <v>125</v>
      </c>
      <c r="I156" s="139">
        <v>4964.46</v>
      </c>
      <c r="J156" s="139">
        <v>4964.46</v>
      </c>
      <c r="K156" s="140">
        <f t="shared" si="41"/>
        <v>100</v>
      </c>
    </row>
    <row r="157" spans="1:11">
      <c r="A157" s="206" t="s">
        <v>1692</v>
      </c>
      <c r="B157" s="378" t="s">
        <v>162</v>
      </c>
      <c r="C157" s="160" t="s">
        <v>126</v>
      </c>
      <c r="D157" s="160" t="s">
        <v>124</v>
      </c>
      <c r="E157" s="161" t="s">
        <v>1456</v>
      </c>
      <c r="F157" s="160" t="s">
        <v>127</v>
      </c>
      <c r="G157" s="160" t="s">
        <v>129</v>
      </c>
      <c r="H157" s="160" t="s">
        <v>125</v>
      </c>
      <c r="I157" s="139">
        <f>I162+I164+I158</f>
        <v>1728561</v>
      </c>
      <c r="J157" s="139">
        <f>J162+J164+J158</f>
        <v>1703996.4600000002</v>
      </c>
      <c r="K157" s="140">
        <f t="shared" si="41"/>
        <v>98.578902335526493</v>
      </c>
    </row>
    <row r="158" spans="1:11" ht="63.75">
      <c r="A158" s="206" t="s">
        <v>1867</v>
      </c>
      <c r="B158" s="378" t="s">
        <v>162</v>
      </c>
      <c r="C158" s="160" t="s">
        <v>126</v>
      </c>
      <c r="D158" s="160" t="s">
        <v>124</v>
      </c>
      <c r="E158" s="161" t="s">
        <v>1879</v>
      </c>
      <c r="F158" s="160" t="s">
        <v>227</v>
      </c>
      <c r="G158" s="160" t="s">
        <v>129</v>
      </c>
      <c r="H158" s="160" t="s">
        <v>125</v>
      </c>
      <c r="I158" s="139">
        <f t="shared" ref="I158:J158" si="45">I159</f>
        <v>1552787</v>
      </c>
      <c r="J158" s="139">
        <f t="shared" si="45"/>
        <v>1552598.37</v>
      </c>
      <c r="K158" s="140">
        <f t="shared" si="41"/>
        <v>99.987852165171404</v>
      </c>
    </row>
    <row r="159" spans="1:11" ht="51">
      <c r="A159" s="162" t="s">
        <v>1423</v>
      </c>
      <c r="B159" s="378" t="s">
        <v>162</v>
      </c>
      <c r="C159" s="160" t="s">
        <v>126</v>
      </c>
      <c r="D159" s="160" t="s">
        <v>124</v>
      </c>
      <c r="E159" s="161" t="s">
        <v>1880</v>
      </c>
      <c r="F159" s="160" t="s">
        <v>227</v>
      </c>
      <c r="G159" s="160" t="s">
        <v>129</v>
      </c>
      <c r="H159" s="160" t="s">
        <v>125</v>
      </c>
      <c r="I159" s="139">
        <f>SUM(I160:I161)</f>
        <v>1552787</v>
      </c>
      <c r="J159" s="139">
        <f>SUM(J160:J161)</f>
        <v>1552598.37</v>
      </c>
      <c r="K159" s="140">
        <f t="shared" si="41"/>
        <v>99.987852165171404</v>
      </c>
    </row>
    <row r="160" spans="1:11" ht="51">
      <c r="A160" s="162" t="s">
        <v>1423</v>
      </c>
      <c r="B160" s="378" t="s">
        <v>5</v>
      </c>
      <c r="C160" s="160" t="s">
        <v>126</v>
      </c>
      <c r="D160" s="160" t="s">
        <v>124</v>
      </c>
      <c r="E160" s="161" t="s">
        <v>1880</v>
      </c>
      <c r="F160" s="160" t="s">
        <v>227</v>
      </c>
      <c r="G160" s="160" t="s">
        <v>129</v>
      </c>
      <c r="H160" s="160" t="s">
        <v>125</v>
      </c>
      <c r="I160" s="139">
        <f>62675+1430000</f>
        <v>1492675</v>
      </c>
      <c r="J160" s="139">
        <v>1492486.37</v>
      </c>
      <c r="K160" s="140">
        <f t="shared" si="41"/>
        <v>99.987362955767338</v>
      </c>
    </row>
    <row r="161" spans="1:11" ht="51">
      <c r="A161" s="162" t="s">
        <v>1423</v>
      </c>
      <c r="B161" s="378" t="s">
        <v>207</v>
      </c>
      <c r="C161" s="160" t="s">
        <v>126</v>
      </c>
      <c r="D161" s="160" t="s">
        <v>124</v>
      </c>
      <c r="E161" s="161" t="s">
        <v>1880</v>
      </c>
      <c r="F161" s="160" t="s">
        <v>227</v>
      </c>
      <c r="G161" s="160" t="s">
        <v>129</v>
      </c>
      <c r="H161" s="160" t="s">
        <v>125</v>
      </c>
      <c r="I161" s="139">
        <v>60112</v>
      </c>
      <c r="J161" s="139">
        <v>60112</v>
      </c>
      <c r="K161" s="140">
        <f t="shared" si="41"/>
        <v>100</v>
      </c>
    </row>
    <row r="162" spans="1:11" ht="38.25">
      <c r="A162" s="162" t="s">
        <v>1111</v>
      </c>
      <c r="B162" s="378" t="s">
        <v>162</v>
      </c>
      <c r="C162" s="160" t="s">
        <v>126</v>
      </c>
      <c r="D162" s="160" t="s">
        <v>124</v>
      </c>
      <c r="E162" s="161" t="s">
        <v>1394</v>
      </c>
      <c r="F162" s="160" t="s">
        <v>127</v>
      </c>
      <c r="G162" s="160" t="s">
        <v>129</v>
      </c>
      <c r="H162" s="160" t="s">
        <v>125</v>
      </c>
      <c r="I162" s="140">
        <f t="shared" ref="I162:J162" si="46">I163</f>
        <v>0</v>
      </c>
      <c r="J162" s="140">
        <f t="shared" si="46"/>
        <v>0</v>
      </c>
      <c r="K162" s="140"/>
    </row>
    <row r="163" spans="1:11" ht="38.25">
      <c r="A163" s="162" t="s">
        <v>317</v>
      </c>
      <c r="B163" s="378" t="s">
        <v>179</v>
      </c>
      <c r="C163" s="160" t="s">
        <v>126</v>
      </c>
      <c r="D163" s="160" t="s">
        <v>124</v>
      </c>
      <c r="E163" s="161" t="s">
        <v>1394</v>
      </c>
      <c r="F163" s="160" t="s">
        <v>227</v>
      </c>
      <c r="G163" s="160" t="s">
        <v>129</v>
      </c>
      <c r="H163" s="160" t="s">
        <v>125</v>
      </c>
      <c r="I163" s="140">
        <f>79000-79000</f>
        <v>0</v>
      </c>
      <c r="J163" s="140">
        <v>0</v>
      </c>
      <c r="K163" s="140"/>
    </row>
    <row r="164" spans="1:11" ht="51">
      <c r="A164" s="162" t="s">
        <v>1395</v>
      </c>
      <c r="B164" s="378" t="s">
        <v>162</v>
      </c>
      <c r="C164" s="160" t="s">
        <v>126</v>
      </c>
      <c r="D164" s="160" t="s">
        <v>124</v>
      </c>
      <c r="E164" s="161" t="s">
        <v>1396</v>
      </c>
      <c r="F164" s="160" t="s">
        <v>127</v>
      </c>
      <c r="G164" s="160" t="s">
        <v>129</v>
      </c>
      <c r="H164" s="160" t="s">
        <v>125</v>
      </c>
      <c r="I164" s="140">
        <f>I165+I170</f>
        <v>175774</v>
      </c>
      <c r="J164" s="140">
        <f>J165+J170</f>
        <v>151398.09</v>
      </c>
      <c r="K164" s="140">
        <f t="shared" si="41"/>
        <v>86.13224367653919</v>
      </c>
    </row>
    <row r="165" spans="1:11" ht="51">
      <c r="A165" s="162" t="s">
        <v>1397</v>
      </c>
      <c r="B165" s="378" t="s">
        <v>162</v>
      </c>
      <c r="C165" s="160" t="s">
        <v>126</v>
      </c>
      <c r="D165" s="160" t="s">
        <v>124</v>
      </c>
      <c r="E165" s="161" t="s">
        <v>1398</v>
      </c>
      <c r="F165" s="160" t="s">
        <v>131</v>
      </c>
      <c r="G165" s="160" t="s">
        <v>129</v>
      </c>
      <c r="H165" s="160" t="s">
        <v>125</v>
      </c>
      <c r="I165" s="140">
        <f>SUM(I166:I169)</f>
        <v>175774</v>
      </c>
      <c r="J165" s="140">
        <f>SUM(J166:J169)</f>
        <v>151786.26</v>
      </c>
      <c r="K165" s="140">
        <f t="shared" si="41"/>
        <v>86.353078384744052</v>
      </c>
    </row>
    <row r="166" spans="1:11" ht="51">
      <c r="A166" s="162" t="s">
        <v>1397</v>
      </c>
      <c r="B166" s="378" t="s">
        <v>453</v>
      </c>
      <c r="C166" s="160" t="s">
        <v>126</v>
      </c>
      <c r="D166" s="160" t="s">
        <v>124</v>
      </c>
      <c r="E166" s="161" t="s">
        <v>1398</v>
      </c>
      <c r="F166" s="160" t="s">
        <v>131</v>
      </c>
      <c r="G166" s="160" t="s">
        <v>129</v>
      </c>
      <c r="H166" s="160" t="s">
        <v>125</v>
      </c>
      <c r="I166" s="140">
        <v>93500</v>
      </c>
      <c r="J166" s="140">
        <v>0</v>
      </c>
      <c r="K166" s="140">
        <f t="shared" si="41"/>
        <v>0</v>
      </c>
    </row>
    <row r="167" spans="1:11" ht="51">
      <c r="A167" s="162" t="s">
        <v>1397</v>
      </c>
      <c r="B167" s="378" t="s">
        <v>2278</v>
      </c>
      <c r="C167" s="160" t="s">
        <v>126</v>
      </c>
      <c r="D167" s="160" t="s">
        <v>124</v>
      </c>
      <c r="E167" s="161" t="s">
        <v>1398</v>
      </c>
      <c r="F167" s="160" t="s">
        <v>131</v>
      </c>
      <c r="G167" s="160" t="s">
        <v>129</v>
      </c>
      <c r="H167" s="160" t="s">
        <v>125</v>
      </c>
      <c r="I167" s="140">
        <v>15000</v>
      </c>
      <c r="J167" s="140">
        <v>3123.9</v>
      </c>
      <c r="K167" s="140">
        <f t="shared" si="41"/>
        <v>20.826000000000001</v>
      </c>
    </row>
    <row r="168" spans="1:11" ht="51">
      <c r="A168" s="162" t="s">
        <v>1397</v>
      </c>
      <c r="B168" s="378" t="s">
        <v>5</v>
      </c>
      <c r="C168" s="160" t="s">
        <v>126</v>
      </c>
      <c r="D168" s="160" t="s">
        <v>124</v>
      </c>
      <c r="E168" s="161" t="s">
        <v>1398</v>
      </c>
      <c r="F168" s="160" t="s">
        <v>131</v>
      </c>
      <c r="G168" s="160" t="s">
        <v>129</v>
      </c>
      <c r="H168" s="160" t="s">
        <v>125</v>
      </c>
      <c r="I168" s="140">
        <v>22274</v>
      </c>
      <c r="J168" s="140">
        <v>7287.95</v>
      </c>
      <c r="K168" s="140">
        <f t="shared" si="41"/>
        <v>32.719538475352429</v>
      </c>
    </row>
    <row r="169" spans="1:11" ht="51">
      <c r="A169" s="162" t="s">
        <v>1397</v>
      </c>
      <c r="B169" s="378" t="s">
        <v>2279</v>
      </c>
      <c r="C169" s="160" t="s">
        <v>126</v>
      </c>
      <c r="D169" s="160" t="s">
        <v>124</v>
      </c>
      <c r="E169" s="161" t="s">
        <v>1398</v>
      </c>
      <c r="F169" s="160" t="s">
        <v>131</v>
      </c>
      <c r="G169" s="160" t="s">
        <v>129</v>
      </c>
      <c r="H169" s="160" t="s">
        <v>125</v>
      </c>
      <c r="I169" s="140">
        <v>45000</v>
      </c>
      <c r="J169" s="140">
        <v>141374.41</v>
      </c>
      <c r="K169" s="140">
        <f t="shared" si="41"/>
        <v>314.16535555555555</v>
      </c>
    </row>
    <row r="170" spans="1:11" ht="63.75">
      <c r="A170" s="162" t="s">
        <v>2281</v>
      </c>
      <c r="B170" s="378" t="s">
        <v>162</v>
      </c>
      <c r="C170" s="160" t="s">
        <v>126</v>
      </c>
      <c r="D170" s="160" t="s">
        <v>124</v>
      </c>
      <c r="E170" s="161" t="s">
        <v>2280</v>
      </c>
      <c r="F170" s="160" t="s">
        <v>131</v>
      </c>
      <c r="G170" s="160" t="s">
        <v>129</v>
      </c>
      <c r="H170" s="160" t="s">
        <v>125</v>
      </c>
      <c r="I170" s="140">
        <f>I171</f>
        <v>0</v>
      </c>
      <c r="J170" s="140">
        <f>J171</f>
        <v>-388.17</v>
      </c>
      <c r="K170" s="140"/>
    </row>
    <row r="171" spans="1:11" ht="63.75">
      <c r="A171" s="162" t="s">
        <v>2281</v>
      </c>
      <c r="B171" s="378" t="s">
        <v>130</v>
      </c>
      <c r="C171" s="160" t="s">
        <v>126</v>
      </c>
      <c r="D171" s="160" t="s">
        <v>124</v>
      </c>
      <c r="E171" s="161" t="s">
        <v>2280</v>
      </c>
      <c r="F171" s="160" t="s">
        <v>131</v>
      </c>
      <c r="G171" s="160" t="s">
        <v>129</v>
      </c>
      <c r="H171" s="160" t="s">
        <v>125</v>
      </c>
      <c r="I171" s="140">
        <v>0</v>
      </c>
      <c r="J171" s="140">
        <v>-388.17</v>
      </c>
      <c r="K171" s="140"/>
    </row>
    <row r="172" spans="1:11">
      <c r="A172" s="162" t="s">
        <v>1693</v>
      </c>
      <c r="B172" s="378" t="s">
        <v>162</v>
      </c>
      <c r="C172" s="160" t="s">
        <v>126</v>
      </c>
      <c r="D172" s="160" t="s">
        <v>124</v>
      </c>
      <c r="E172" s="161" t="s">
        <v>1694</v>
      </c>
      <c r="F172" s="160" t="s">
        <v>131</v>
      </c>
      <c r="G172" s="160" t="s">
        <v>129</v>
      </c>
      <c r="H172" s="160" t="s">
        <v>125</v>
      </c>
      <c r="I172" s="139">
        <f t="shared" ref="I172:J172" si="47">I173</f>
        <v>2351567</v>
      </c>
      <c r="J172" s="139">
        <f t="shared" si="47"/>
        <v>2352256.4300000002</v>
      </c>
      <c r="K172" s="140">
        <f t="shared" si="41"/>
        <v>100.02931789738503</v>
      </c>
    </row>
    <row r="173" spans="1:11" ht="89.25">
      <c r="A173" s="162" t="s">
        <v>1695</v>
      </c>
      <c r="B173" s="378" t="s">
        <v>162</v>
      </c>
      <c r="C173" s="160" t="s">
        <v>126</v>
      </c>
      <c r="D173" s="160" t="s">
        <v>124</v>
      </c>
      <c r="E173" s="161" t="s">
        <v>1696</v>
      </c>
      <c r="F173" s="160" t="s">
        <v>131</v>
      </c>
      <c r="G173" s="160" t="s">
        <v>129</v>
      </c>
      <c r="H173" s="160" t="s">
        <v>125</v>
      </c>
      <c r="I173" s="140">
        <f>SUM(I174:I175)</f>
        <v>2351567</v>
      </c>
      <c r="J173" s="140">
        <f>SUM(J174:J175)</f>
        <v>2352256.4300000002</v>
      </c>
      <c r="K173" s="140">
        <f t="shared" si="41"/>
        <v>100.02931789738503</v>
      </c>
    </row>
    <row r="174" spans="1:11" ht="89.25">
      <c r="A174" s="162" t="s">
        <v>1695</v>
      </c>
      <c r="B174" s="378" t="s">
        <v>453</v>
      </c>
      <c r="C174" s="160" t="s">
        <v>126</v>
      </c>
      <c r="D174" s="160" t="s">
        <v>124</v>
      </c>
      <c r="E174" s="161" t="s">
        <v>1696</v>
      </c>
      <c r="F174" s="160" t="s">
        <v>131</v>
      </c>
      <c r="G174" s="160" t="s">
        <v>129</v>
      </c>
      <c r="H174" s="160" t="s">
        <v>125</v>
      </c>
      <c r="I174" s="140">
        <v>41567</v>
      </c>
      <c r="J174" s="140">
        <v>41567.69</v>
      </c>
      <c r="K174" s="140">
        <f t="shared" si="41"/>
        <v>100.0016599706498</v>
      </c>
    </row>
    <row r="175" spans="1:11" ht="89.25">
      <c r="A175" s="162" t="s">
        <v>1695</v>
      </c>
      <c r="B175" s="378" t="s">
        <v>821</v>
      </c>
      <c r="C175" s="160" t="s">
        <v>126</v>
      </c>
      <c r="D175" s="160" t="s">
        <v>124</v>
      </c>
      <c r="E175" s="161" t="s">
        <v>1696</v>
      </c>
      <c r="F175" s="160" t="s">
        <v>131</v>
      </c>
      <c r="G175" s="160" t="s">
        <v>129</v>
      </c>
      <c r="H175" s="160" t="s">
        <v>125</v>
      </c>
      <c r="I175" s="140">
        <v>2310000</v>
      </c>
      <c r="J175" s="140">
        <v>2310688.7400000002</v>
      </c>
      <c r="K175" s="140">
        <f t="shared" si="41"/>
        <v>100.02981558441559</v>
      </c>
    </row>
    <row r="176" spans="1:11">
      <c r="A176" s="7" t="s">
        <v>2282</v>
      </c>
      <c r="B176" s="148" t="s">
        <v>162</v>
      </c>
      <c r="C176" s="148" t="s">
        <v>126</v>
      </c>
      <c r="D176" s="148" t="s">
        <v>2284</v>
      </c>
      <c r="E176" s="150" t="s">
        <v>128</v>
      </c>
      <c r="F176" s="148" t="s">
        <v>127</v>
      </c>
      <c r="G176" s="148" t="s">
        <v>129</v>
      </c>
      <c r="H176" s="148" t="s">
        <v>162</v>
      </c>
      <c r="I176" s="140">
        <f>I177</f>
        <v>0</v>
      </c>
      <c r="J176" s="140">
        <f>J177</f>
        <v>3408.54</v>
      </c>
      <c r="K176" s="140"/>
    </row>
    <row r="177" spans="1:11">
      <c r="A177" s="7" t="s">
        <v>2283</v>
      </c>
      <c r="B177" s="148" t="s">
        <v>162</v>
      </c>
      <c r="C177" s="148" t="s">
        <v>126</v>
      </c>
      <c r="D177" s="148" t="s">
        <v>2284</v>
      </c>
      <c r="E177" s="150" t="s">
        <v>132</v>
      </c>
      <c r="F177" s="148" t="s">
        <v>127</v>
      </c>
      <c r="G177" s="148" t="s">
        <v>129</v>
      </c>
      <c r="H177" s="148" t="s">
        <v>2285</v>
      </c>
      <c r="I177" s="140">
        <f>I178</f>
        <v>0</v>
      </c>
      <c r="J177" s="140">
        <f>J178</f>
        <v>3408.54</v>
      </c>
      <c r="K177" s="140"/>
    </row>
    <row r="178" spans="1:11" ht="25.5">
      <c r="A178" s="7" t="s">
        <v>300</v>
      </c>
      <c r="B178" s="148" t="s">
        <v>162</v>
      </c>
      <c r="C178" s="148" t="s">
        <v>126</v>
      </c>
      <c r="D178" s="148" t="s">
        <v>2284</v>
      </c>
      <c r="E178" s="150" t="s">
        <v>1673</v>
      </c>
      <c r="F178" s="148" t="s">
        <v>227</v>
      </c>
      <c r="G178" s="148" t="s">
        <v>129</v>
      </c>
      <c r="H178" s="148" t="s">
        <v>2285</v>
      </c>
      <c r="I178" s="140">
        <f>SUM(I179:I180)</f>
        <v>0</v>
      </c>
      <c r="J178" s="140">
        <f>SUM(J179:J180)</f>
        <v>3408.54</v>
      </c>
      <c r="K178" s="140"/>
    </row>
    <row r="179" spans="1:11" ht="25.5">
      <c r="A179" s="7" t="s">
        <v>300</v>
      </c>
      <c r="B179" s="148" t="s">
        <v>952</v>
      </c>
      <c r="C179" s="148" t="s">
        <v>126</v>
      </c>
      <c r="D179" s="148" t="s">
        <v>2284</v>
      </c>
      <c r="E179" s="150" t="s">
        <v>1673</v>
      </c>
      <c r="F179" s="148" t="s">
        <v>227</v>
      </c>
      <c r="G179" s="148" t="s">
        <v>129</v>
      </c>
      <c r="H179" s="148" t="s">
        <v>2285</v>
      </c>
      <c r="I179" s="140">
        <v>0</v>
      </c>
      <c r="J179" s="140">
        <v>-416.86</v>
      </c>
      <c r="K179" s="140"/>
    </row>
    <row r="180" spans="1:11" ht="25.5">
      <c r="A180" s="7" t="s">
        <v>300</v>
      </c>
      <c r="B180" s="148" t="s">
        <v>208</v>
      </c>
      <c r="C180" s="148" t="s">
        <v>126</v>
      </c>
      <c r="D180" s="148" t="s">
        <v>2284</v>
      </c>
      <c r="E180" s="150" t="s">
        <v>1673</v>
      </c>
      <c r="F180" s="148" t="s">
        <v>227</v>
      </c>
      <c r="G180" s="148" t="s">
        <v>129</v>
      </c>
      <c r="H180" s="148" t="s">
        <v>2285</v>
      </c>
      <c r="I180" s="140">
        <v>0</v>
      </c>
      <c r="J180" s="140">
        <v>3825.4</v>
      </c>
      <c r="K180" s="140"/>
    </row>
    <row r="181" spans="1:11">
      <c r="A181" s="162" t="s">
        <v>87</v>
      </c>
      <c r="B181" s="378" t="s">
        <v>208</v>
      </c>
      <c r="C181" s="160" t="s">
        <v>171</v>
      </c>
      <c r="D181" s="160" t="s">
        <v>127</v>
      </c>
      <c r="E181" s="161" t="s">
        <v>128</v>
      </c>
      <c r="F181" s="160" t="s">
        <v>127</v>
      </c>
      <c r="G181" s="160" t="s">
        <v>129</v>
      </c>
      <c r="H181" s="160" t="s">
        <v>162</v>
      </c>
      <c r="I181" s="140">
        <f>I182+I275+I284+I299+I280</f>
        <v>2323470040.9700003</v>
      </c>
      <c r="J181" s="140">
        <f>J182+J275+J284+J299+J280</f>
        <v>2285120411.8700004</v>
      </c>
      <c r="K181" s="140">
        <f t="shared" si="41"/>
        <v>98.349467459283886</v>
      </c>
    </row>
    <row r="182" spans="1:11" ht="25.5">
      <c r="A182" s="162" t="s">
        <v>142</v>
      </c>
      <c r="B182" s="378" t="s">
        <v>208</v>
      </c>
      <c r="C182" s="160" t="s">
        <v>171</v>
      </c>
      <c r="D182" s="160" t="s">
        <v>223</v>
      </c>
      <c r="E182" s="161" t="s">
        <v>128</v>
      </c>
      <c r="F182" s="160" t="s">
        <v>127</v>
      </c>
      <c r="G182" s="160" t="s">
        <v>129</v>
      </c>
      <c r="H182" s="160" t="s">
        <v>162</v>
      </c>
      <c r="I182" s="140">
        <f>I183+I192+I221+I252</f>
        <v>2308511558.75</v>
      </c>
      <c r="J182" s="140">
        <f>J183+J192+J221+J252</f>
        <v>2272770099.8499999</v>
      </c>
      <c r="K182" s="140">
        <f t="shared" si="41"/>
        <v>98.451753088931753</v>
      </c>
    </row>
    <row r="183" spans="1:11">
      <c r="A183" s="237" t="s">
        <v>1457</v>
      </c>
      <c r="B183" s="378" t="s">
        <v>208</v>
      </c>
      <c r="C183" s="160" t="s">
        <v>171</v>
      </c>
      <c r="D183" s="160" t="s">
        <v>223</v>
      </c>
      <c r="E183" s="161" t="s">
        <v>1456</v>
      </c>
      <c r="F183" s="160" t="s">
        <v>127</v>
      </c>
      <c r="G183" s="160" t="s">
        <v>129</v>
      </c>
      <c r="H183" s="160" t="s">
        <v>1245</v>
      </c>
      <c r="I183" s="140">
        <f>I184+I187+I189</f>
        <v>726032300</v>
      </c>
      <c r="J183" s="140">
        <f t="shared" ref="J183" si="48">J184+J187+J189</f>
        <v>726032300</v>
      </c>
      <c r="K183" s="140">
        <f t="shared" si="41"/>
        <v>100</v>
      </c>
    </row>
    <row r="184" spans="1:11" ht="25.5">
      <c r="A184" s="206" t="s">
        <v>1868</v>
      </c>
      <c r="B184" s="378" t="s">
        <v>208</v>
      </c>
      <c r="C184" s="160" t="s">
        <v>171</v>
      </c>
      <c r="D184" s="160" t="s">
        <v>223</v>
      </c>
      <c r="E184" s="161" t="s">
        <v>1066</v>
      </c>
      <c r="F184" s="160" t="s">
        <v>127</v>
      </c>
      <c r="G184" s="160" t="s">
        <v>129</v>
      </c>
      <c r="H184" s="160" t="s">
        <v>1245</v>
      </c>
      <c r="I184" s="140">
        <f t="shared" ref="I184:J185" si="49">I185</f>
        <v>610650900</v>
      </c>
      <c r="J184" s="140">
        <f t="shared" si="49"/>
        <v>610650900</v>
      </c>
      <c r="K184" s="140">
        <f t="shared" si="41"/>
        <v>100</v>
      </c>
    </row>
    <row r="185" spans="1:11">
      <c r="A185" s="50" t="s">
        <v>546</v>
      </c>
      <c r="B185" s="378" t="s">
        <v>208</v>
      </c>
      <c r="C185" s="160" t="s">
        <v>171</v>
      </c>
      <c r="D185" s="160" t="s">
        <v>223</v>
      </c>
      <c r="E185" s="161" t="s">
        <v>1066</v>
      </c>
      <c r="F185" s="160" t="s">
        <v>127</v>
      </c>
      <c r="G185" s="160" t="s">
        <v>129</v>
      </c>
      <c r="H185" s="160" t="s">
        <v>1245</v>
      </c>
      <c r="I185" s="140">
        <f t="shared" si="49"/>
        <v>610650900</v>
      </c>
      <c r="J185" s="140">
        <f t="shared" si="49"/>
        <v>610650900</v>
      </c>
      <c r="K185" s="140">
        <f t="shared" si="41"/>
        <v>100</v>
      </c>
    </row>
    <row r="186" spans="1:11" ht="25.5">
      <c r="A186" s="162" t="s">
        <v>319</v>
      </c>
      <c r="B186" s="378" t="s">
        <v>208</v>
      </c>
      <c r="C186" s="160" t="s">
        <v>171</v>
      </c>
      <c r="D186" s="160" t="s">
        <v>223</v>
      </c>
      <c r="E186" s="163" t="s">
        <v>1066</v>
      </c>
      <c r="F186" s="160" t="s">
        <v>227</v>
      </c>
      <c r="G186" s="160" t="s">
        <v>129</v>
      </c>
      <c r="H186" s="160" t="s">
        <v>1245</v>
      </c>
      <c r="I186" s="140">
        <v>610650900</v>
      </c>
      <c r="J186" s="240">
        <v>610650900</v>
      </c>
      <c r="K186" s="140">
        <f t="shared" si="41"/>
        <v>100</v>
      </c>
    </row>
    <row r="187" spans="1:11" ht="25.5">
      <c r="A187" s="162" t="s">
        <v>1164</v>
      </c>
      <c r="B187" s="378" t="s">
        <v>208</v>
      </c>
      <c r="C187" s="160" t="s">
        <v>171</v>
      </c>
      <c r="D187" s="160" t="s">
        <v>223</v>
      </c>
      <c r="E187" s="163" t="s">
        <v>1165</v>
      </c>
      <c r="F187" s="160" t="s">
        <v>127</v>
      </c>
      <c r="G187" s="160" t="s">
        <v>129</v>
      </c>
      <c r="H187" s="160" t="s">
        <v>1245</v>
      </c>
      <c r="I187" s="140">
        <f>I188</f>
        <v>25668300</v>
      </c>
      <c r="J187" s="140">
        <f t="shared" ref="J187" si="50">J188</f>
        <v>25668300</v>
      </c>
      <c r="K187" s="140">
        <f t="shared" si="41"/>
        <v>100</v>
      </c>
    </row>
    <row r="188" spans="1:11" ht="25.5">
      <c r="A188" s="162" t="s">
        <v>320</v>
      </c>
      <c r="B188" s="396" t="s">
        <v>208</v>
      </c>
      <c r="C188" s="161" t="s">
        <v>171</v>
      </c>
      <c r="D188" s="160" t="s">
        <v>223</v>
      </c>
      <c r="E188" s="161" t="s">
        <v>1165</v>
      </c>
      <c r="F188" s="161" t="s">
        <v>227</v>
      </c>
      <c r="G188" s="161" t="s">
        <v>129</v>
      </c>
      <c r="H188" s="160" t="s">
        <v>1245</v>
      </c>
      <c r="I188" s="140">
        <f>1638300+24030000</f>
        <v>25668300</v>
      </c>
      <c r="J188" s="240">
        <v>25668300</v>
      </c>
      <c r="K188" s="140">
        <f t="shared" si="41"/>
        <v>100</v>
      </c>
    </row>
    <row r="189" spans="1:11">
      <c r="A189" s="151" t="s">
        <v>1978</v>
      </c>
      <c r="B189" s="160" t="s">
        <v>208</v>
      </c>
      <c r="C189" s="160" t="s">
        <v>171</v>
      </c>
      <c r="D189" s="160" t="s">
        <v>223</v>
      </c>
      <c r="E189" s="161" t="s">
        <v>1979</v>
      </c>
      <c r="F189" s="160" t="s">
        <v>127</v>
      </c>
      <c r="G189" s="160" t="s">
        <v>129</v>
      </c>
      <c r="H189" s="160" t="s">
        <v>1245</v>
      </c>
      <c r="I189" s="140">
        <f>I190</f>
        <v>89713100</v>
      </c>
      <c r="J189" s="140">
        <f t="shared" ref="J189:J190" si="51">J190</f>
        <v>89713100</v>
      </c>
      <c r="K189" s="140">
        <f t="shared" si="41"/>
        <v>100</v>
      </c>
    </row>
    <row r="190" spans="1:11">
      <c r="A190" s="151" t="s">
        <v>1449</v>
      </c>
      <c r="B190" s="160" t="s">
        <v>208</v>
      </c>
      <c r="C190" s="160" t="s">
        <v>171</v>
      </c>
      <c r="D190" s="160" t="s">
        <v>223</v>
      </c>
      <c r="E190" s="161" t="s">
        <v>1979</v>
      </c>
      <c r="F190" s="160" t="s">
        <v>227</v>
      </c>
      <c r="G190" s="160" t="s">
        <v>129</v>
      </c>
      <c r="H190" s="160" t="s">
        <v>1245</v>
      </c>
      <c r="I190" s="140">
        <f>I191</f>
        <v>89713100</v>
      </c>
      <c r="J190" s="140">
        <f t="shared" si="51"/>
        <v>89713100</v>
      </c>
      <c r="K190" s="140">
        <f t="shared" si="41"/>
        <v>100</v>
      </c>
    </row>
    <row r="191" spans="1:11" ht="38.25">
      <c r="A191" s="52" t="s">
        <v>1980</v>
      </c>
      <c r="B191" s="160" t="s">
        <v>208</v>
      </c>
      <c r="C191" s="160" t="s">
        <v>171</v>
      </c>
      <c r="D191" s="160" t="s">
        <v>223</v>
      </c>
      <c r="E191" s="161" t="s">
        <v>1979</v>
      </c>
      <c r="F191" s="160" t="s">
        <v>227</v>
      </c>
      <c r="G191" s="160" t="s">
        <v>1981</v>
      </c>
      <c r="H191" s="160" t="s">
        <v>1245</v>
      </c>
      <c r="I191" s="140">
        <f>51627200+19926500+18159400</f>
        <v>89713100</v>
      </c>
      <c r="J191" s="240">
        <v>89713100</v>
      </c>
      <c r="K191" s="140">
        <f t="shared" si="41"/>
        <v>100</v>
      </c>
    </row>
    <row r="192" spans="1:11" ht="25.5">
      <c r="A192" s="162" t="s">
        <v>134</v>
      </c>
      <c r="B192" s="396" t="s">
        <v>208</v>
      </c>
      <c r="C192" s="161" t="s">
        <v>171</v>
      </c>
      <c r="D192" s="160" t="s">
        <v>223</v>
      </c>
      <c r="E192" s="161" t="s">
        <v>1067</v>
      </c>
      <c r="F192" s="161" t="s">
        <v>127</v>
      </c>
      <c r="G192" s="161" t="s">
        <v>129</v>
      </c>
      <c r="H192" s="160" t="s">
        <v>1245</v>
      </c>
      <c r="I192" s="140">
        <f>I193+I195+I203+I201+I199+I197</f>
        <v>84977327.700000003</v>
      </c>
      <c r="J192" s="140">
        <f t="shared" ref="J192" si="52">J193+J195+J203+J201+J199+J197</f>
        <v>75600258.230000004</v>
      </c>
      <c r="K192" s="140">
        <f t="shared" si="41"/>
        <v>88.965210222773337</v>
      </c>
    </row>
    <row r="193" spans="1:11" ht="51">
      <c r="A193" s="162" t="s">
        <v>1900</v>
      </c>
      <c r="B193" s="161" t="s">
        <v>208</v>
      </c>
      <c r="C193" s="161" t="s">
        <v>171</v>
      </c>
      <c r="D193" s="160" t="s">
        <v>223</v>
      </c>
      <c r="E193" s="161" t="s">
        <v>1487</v>
      </c>
      <c r="F193" s="161" t="s">
        <v>127</v>
      </c>
      <c r="G193" s="161" t="s">
        <v>129</v>
      </c>
      <c r="H193" s="160" t="s">
        <v>1245</v>
      </c>
      <c r="I193" s="140">
        <f t="shared" ref="I193:J193" si="53">I194</f>
        <v>6948300</v>
      </c>
      <c r="J193" s="140">
        <f t="shared" si="53"/>
        <v>6948300</v>
      </c>
      <c r="K193" s="140">
        <f t="shared" si="41"/>
        <v>100</v>
      </c>
    </row>
    <row r="194" spans="1:11" ht="51">
      <c r="A194" s="162" t="s">
        <v>1901</v>
      </c>
      <c r="B194" s="161" t="s">
        <v>208</v>
      </c>
      <c r="C194" s="161" t="s">
        <v>171</v>
      </c>
      <c r="D194" s="160" t="s">
        <v>223</v>
      </c>
      <c r="E194" s="161" t="s">
        <v>1487</v>
      </c>
      <c r="F194" s="161" t="s">
        <v>227</v>
      </c>
      <c r="G194" s="161" t="s">
        <v>129</v>
      </c>
      <c r="H194" s="160" t="s">
        <v>1245</v>
      </c>
      <c r="I194" s="140">
        <v>6948300</v>
      </c>
      <c r="J194" s="140">
        <v>6948300</v>
      </c>
      <c r="K194" s="140">
        <f t="shared" si="41"/>
        <v>100</v>
      </c>
    </row>
    <row r="195" spans="1:11" ht="38.25">
      <c r="A195" s="162" t="s">
        <v>1658</v>
      </c>
      <c r="B195" s="161" t="s">
        <v>208</v>
      </c>
      <c r="C195" s="161" t="s">
        <v>171</v>
      </c>
      <c r="D195" s="160" t="s">
        <v>223</v>
      </c>
      <c r="E195" s="161" t="s">
        <v>1651</v>
      </c>
      <c r="F195" s="161" t="s">
        <v>127</v>
      </c>
      <c r="G195" s="161" t="s">
        <v>129</v>
      </c>
      <c r="H195" s="160" t="s">
        <v>1245</v>
      </c>
      <c r="I195" s="139">
        <f t="shared" ref="I195:J195" si="54">I196</f>
        <v>28824196.23</v>
      </c>
      <c r="J195" s="139">
        <f t="shared" si="54"/>
        <v>26749832.329999998</v>
      </c>
      <c r="K195" s="140">
        <f t="shared" si="41"/>
        <v>92.803393775674408</v>
      </c>
    </row>
    <row r="196" spans="1:11" ht="51">
      <c r="A196" s="7" t="s">
        <v>1653</v>
      </c>
      <c r="B196" s="160" t="s">
        <v>208</v>
      </c>
      <c r="C196" s="160" t="s">
        <v>171</v>
      </c>
      <c r="D196" s="160" t="s">
        <v>223</v>
      </c>
      <c r="E196" s="161" t="s">
        <v>1651</v>
      </c>
      <c r="F196" s="160" t="s">
        <v>227</v>
      </c>
      <c r="G196" s="160" t="s">
        <v>129</v>
      </c>
      <c r="H196" s="160" t="s">
        <v>1245</v>
      </c>
      <c r="I196" s="140">
        <f>33523600+378800-4699727.45-378476.32</f>
        <v>28824196.23</v>
      </c>
      <c r="J196" s="140">
        <v>26749832.329999998</v>
      </c>
      <c r="K196" s="140">
        <f t="shared" si="41"/>
        <v>92.803393775674408</v>
      </c>
    </row>
    <row r="197" spans="1:11" ht="41.25" customHeight="1">
      <c r="A197" s="7" t="s">
        <v>2005</v>
      </c>
      <c r="B197" s="160" t="s">
        <v>208</v>
      </c>
      <c r="C197" s="160" t="s">
        <v>171</v>
      </c>
      <c r="D197" s="160" t="s">
        <v>223</v>
      </c>
      <c r="E197" s="161" t="s">
        <v>2006</v>
      </c>
      <c r="F197" s="160" t="s">
        <v>127</v>
      </c>
      <c r="G197" s="160" t="s">
        <v>129</v>
      </c>
      <c r="H197" s="160" t="s">
        <v>1245</v>
      </c>
      <c r="I197" s="140">
        <f>I198</f>
        <v>1613453</v>
      </c>
      <c r="J197" s="140">
        <f t="shared" ref="J197" si="55">J198</f>
        <v>1613453</v>
      </c>
      <c r="K197" s="140">
        <f t="shared" si="41"/>
        <v>100</v>
      </c>
    </row>
    <row r="198" spans="1:11" ht="39" customHeight="1">
      <c r="A198" s="7" t="s">
        <v>1232</v>
      </c>
      <c r="B198" s="160" t="s">
        <v>208</v>
      </c>
      <c r="C198" s="160" t="s">
        <v>171</v>
      </c>
      <c r="D198" s="160" t="s">
        <v>223</v>
      </c>
      <c r="E198" s="161" t="s">
        <v>2006</v>
      </c>
      <c r="F198" s="160" t="s">
        <v>227</v>
      </c>
      <c r="G198" s="160" t="s">
        <v>129</v>
      </c>
      <c r="H198" s="160" t="s">
        <v>1245</v>
      </c>
      <c r="I198" s="140">
        <v>1613453</v>
      </c>
      <c r="J198" s="140">
        <v>1613453</v>
      </c>
      <c r="K198" s="140">
        <f t="shared" si="41"/>
        <v>100</v>
      </c>
    </row>
    <row r="199" spans="1:11" ht="25.5" customHeight="1">
      <c r="A199" s="7" t="s">
        <v>2001</v>
      </c>
      <c r="B199" s="160" t="s">
        <v>208</v>
      </c>
      <c r="C199" s="160" t="s">
        <v>171</v>
      </c>
      <c r="D199" s="160" t="s">
        <v>223</v>
      </c>
      <c r="E199" s="161" t="s">
        <v>2002</v>
      </c>
      <c r="F199" s="160" t="s">
        <v>127</v>
      </c>
      <c r="G199" s="160" t="s">
        <v>129</v>
      </c>
      <c r="H199" s="160" t="s">
        <v>1245</v>
      </c>
      <c r="I199" s="140">
        <f>I200</f>
        <v>1998120</v>
      </c>
      <c r="J199" s="140">
        <f t="shared" ref="J199" si="56">J200</f>
        <v>1998120</v>
      </c>
      <c r="K199" s="140">
        <f t="shared" si="41"/>
        <v>100</v>
      </c>
    </row>
    <row r="200" spans="1:11" ht="25.5" customHeight="1">
      <c r="A200" s="7" t="s">
        <v>1453</v>
      </c>
      <c r="B200" s="160" t="s">
        <v>208</v>
      </c>
      <c r="C200" s="160" t="s">
        <v>171</v>
      </c>
      <c r="D200" s="160" t="s">
        <v>223</v>
      </c>
      <c r="E200" s="161" t="s">
        <v>2002</v>
      </c>
      <c r="F200" s="160" t="s">
        <v>227</v>
      </c>
      <c r="G200" s="160" t="s">
        <v>129</v>
      </c>
      <c r="H200" s="160" t="s">
        <v>1245</v>
      </c>
      <c r="I200" s="140">
        <v>1998120</v>
      </c>
      <c r="J200" s="140">
        <v>1998120</v>
      </c>
      <c r="K200" s="140">
        <f t="shared" si="41"/>
        <v>100</v>
      </c>
    </row>
    <row r="201" spans="1:11">
      <c r="A201" s="230" t="s">
        <v>1982</v>
      </c>
      <c r="B201" s="160" t="s">
        <v>208</v>
      </c>
      <c r="C201" s="160" t="s">
        <v>171</v>
      </c>
      <c r="D201" s="160" t="s">
        <v>223</v>
      </c>
      <c r="E201" s="161" t="s">
        <v>1983</v>
      </c>
      <c r="F201" s="160" t="s">
        <v>127</v>
      </c>
      <c r="G201" s="160" t="s">
        <v>129</v>
      </c>
      <c r="H201" s="160" t="s">
        <v>1245</v>
      </c>
      <c r="I201" s="140">
        <f>I202</f>
        <v>339000</v>
      </c>
      <c r="J201" s="140">
        <f t="shared" ref="J201" si="57">J202</f>
        <v>339000</v>
      </c>
      <c r="K201" s="140">
        <f t="shared" ref="K201:K264" si="58">J201/I201*100</f>
        <v>100</v>
      </c>
    </row>
    <row r="202" spans="1:11" ht="25.5">
      <c r="A202" s="230" t="s">
        <v>1984</v>
      </c>
      <c r="B202" s="160" t="s">
        <v>208</v>
      </c>
      <c r="C202" s="160" t="s">
        <v>171</v>
      </c>
      <c r="D202" s="160" t="s">
        <v>223</v>
      </c>
      <c r="E202" s="161" t="s">
        <v>1983</v>
      </c>
      <c r="F202" s="160" t="s">
        <v>227</v>
      </c>
      <c r="G202" s="160" t="s">
        <v>129</v>
      </c>
      <c r="H202" s="160" t="s">
        <v>1245</v>
      </c>
      <c r="I202" s="140">
        <v>339000</v>
      </c>
      <c r="J202" s="140">
        <v>339000</v>
      </c>
      <c r="K202" s="140">
        <f t="shared" si="58"/>
        <v>100</v>
      </c>
    </row>
    <row r="203" spans="1:11">
      <c r="A203" s="256" t="s">
        <v>61</v>
      </c>
      <c r="B203" s="290" t="s">
        <v>208</v>
      </c>
      <c r="C203" s="290" t="s">
        <v>171</v>
      </c>
      <c r="D203" s="160" t="s">
        <v>223</v>
      </c>
      <c r="E203" s="290" t="s">
        <v>1068</v>
      </c>
      <c r="F203" s="290" t="s">
        <v>127</v>
      </c>
      <c r="G203" s="290" t="s">
        <v>129</v>
      </c>
      <c r="H203" s="160" t="s">
        <v>1245</v>
      </c>
      <c r="I203" s="140">
        <f t="shared" ref="I203:J203" si="59">I204</f>
        <v>45254258.469999999</v>
      </c>
      <c r="J203" s="140">
        <f t="shared" si="59"/>
        <v>37951552.900000006</v>
      </c>
      <c r="K203" s="140">
        <f t="shared" si="58"/>
        <v>83.862942810473612</v>
      </c>
    </row>
    <row r="204" spans="1:11">
      <c r="A204" s="7" t="s">
        <v>62</v>
      </c>
      <c r="B204" s="290" t="s">
        <v>208</v>
      </c>
      <c r="C204" s="290" t="s">
        <v>171</v>
      </c>
      <c r="D204" s="160" t="s">
        <v>223</v>
      </c>
      <c r="E204" s="290" t="s">
        <v>1068</v>
      </c>
      <c r="F204" s="290" t="s">
        <v>227</v>
      </c>
      <c r="G204" s="290" t="s">
        <v>129</v>
      </c>
      <c r="H204" s="160" t="s">
        <v>1245</v>
      </c>
      <c r="I204" s="140">
        <f>SUM(I205:I220)</f>
        <v>45254258.469999999</v>
      </c>
      <c r="J204" s="140">
        <f>SUM(J205:J220)</f>
        <v>37951552.900000006</v>
      </c>
      <c r="K204" s="140">
        <f t="shared" si="58"/>
        <v>83.862942810473612</v>
      </c>
    </row>
    <row r="205" spans="1:11" ht="63.75">
      <c r="A205" s="256" t="s">
        <v>1800</v>
      </c>
      <c r="B205" s="290" t="s">
        <v>208</v>
      </c>
      <c r="C205" s="290" t="s">
        <v>171</v>
      </c>
      <c r="D205" s="160" t="s">
        <v>223</v>
      </c>
      <c r="E205" s="290" t="s">
        <v>1068</v>
      </c>
      <c r="F205" s="290" t="s">
        <v>227</v>
      </c>
      <c r="G205" s="290" t="s">
        <v>1902</v>
      </c>
      <c r="H205" s="160" t="s">
        <v>1245</v>
      </c>
      <c r="I205" s="140">
        <v>2700000</v>
      </c>
      <c r="J205" s="240">
        <v>2700000</v>
      </c>
      <c r="K205" s="140">
        <f t="shared" si="58"/>
        <v>100</v>
      </c>
    </row>
    <row r="206" spans="1:11" ht="25.5">
      <c r="A206" s="256" t="s">
        <v>2126</v>
      </c>
      <c r="B206" s="290" t="s">
        <v>208</v>
      </c>
      <c r="C206" s="290" t="s">
        <v>171</v>
      </c>
      <c r="D206" s="160" t="s">
        <v>223</v>
      </c>
      <c r="E206" s="290" t="s">
        <v>1068</v>
      </c>
      <c r="F206" s="290" t="s">
        <v>227</v>
      </c>
      <c r="G206" s="290" t="s">
        <v>2125</v>
      </c>
      <c r="H206" s="160" t="s">
        <v>1245</v>
      </c>
      <c r="I206" s="140">
        <v>1008900</v>
      </c>
      <c r="J206" s="240">
        <v>899146.14</v>
      </c>
      <c r="K206" s="140">
        <f t="shared" si="58"/>
        <v>89.121433244127275</v>
      </c>
    </row>
    <row r="207" spans="1:11" ht="114.75">
      <c r="A207" s="256" t="s">
        <v>1556</v>
      </c>
      <c r="B207" s="290" t="s">
        <v>208</v>
      </c>
      <c r="C207" s="290" t="s">
        <v>171</v>
      </c>
      <c r="D207" s="160" t="s">
        <v>223</v>
      </c>
      <c r="E207" s="290" t="s">
        <v>1068</v>
      </c>
      <c r="F207" s="290" t="s">
        <v>227</v>
      </c>
      <c r="G207" s="290" t="s">
        <v>1903</v>
      </c>
      <c r="H207" s="160" t="s">
        <v>1245</v>
      </c>
      <c r="I207" s="140">
        <v>358000</v>
      </c>
      <c r="J207" s="240">
        <v>311680.21999999997</v>
      </c>
      <c r="K207" s="140">
        <f t="shared" si="58"/>
        <v>87.061513966480447</v>
      </c>
    </row>
    <row r="208" spans="1:11" ht="38.25">
      <c r="A208" s="256" t="s">
        <v>1557</v>
      </c>
      <c r="B208" s="290" t="s">
        <v>208</v>
      </c>
      <c r="C208" s="290" t="s">
        <v>171</v>
      </c>
      <c r="D208" s="160" t="s">
        <v>223</v>
      </c>
      <c r="E208" s="290" t="s">
        <v>1068</v>
      </c>
      <c r="F208" s="290" t="s">
        <v>227</v>
      </c>
      <c r="G208" s="290" t="s">
        <v>2180</v>
      </c>
      <c r="H208" s="160" t="s">
        <v>1245</v>
      </c>
      <c r="I208" s="140">
        <v>12000</v>
      </c>
      <c r="J208" s="240">
        <v>12000</v>
      </c>
      <c r="K208" s="140">
        <f t="shared" si="58"/>
        <v>100</v>
      </c>
    </row>
    <row r="209" spans="1:11" ht="51">
      <c r="A209" s="7" t="s">
        <v>1559</v>
      </c>
      <c r="B209" s="290" t="s">
        <v>208</v>
      </c>
      <c r="C209" s="290" t="s">
        <v>171</v>
      </c>
      <c r="D209" s="160" t="s">
        <v>223</v>
      </c>
      <c r="E209" s="290" t="s">
        <v>1068</v>
      </c>
      <c r="F209" s="290" t="s">
        <v>227</v>
      </c>
      <c r="G209" s="290" t="s">
        <v>1157</v>
      </c>
      <c r="H209" s="160" t="s">
        <v>1245</v>
      </c>
      <c r="I209" s="140">
        <v>20000</v>
      </c>
      <c r="J209" s="240">
        <v>20000</v>
      </c>
      <c r="K209" s="140">
        <f t="shared" si="58"/>
        <v>100</v>
      </c>
    </row>
    <row r="210" spans="1:11" ht="63.75">
      <c r="A210" s="7" t="s">
        <v>2174</v>
      </c>
      <c r="B210" s="290" t="s">
        <v>208</v>
      </c>
      <c r="C210" s="290" t="s">
        <v>171</v>
      </c>
      <c r="D210" s="160" t="s">
        <v>223</v>
      </c>
      <c r="E210" s="290" t="s">
        <v>1068</v>
      </c>
      <c r="F210" s="290" t="s">
        <v>227</v>
      </c>
      <c r="G210" s="290" t="s">
        <v>2173</v>
      </c>
      <c r="H210" s="160" t="s">
        <v>1245</v>
      </c>
      <c r="I210" s="140">
        <v>5449000</v>
      </c>
      <c r="J210" s="240">
        <v>5449000</v>
      </c>
      <c r="K210" s="140">
        <f t="shared" si="58"/>
        <v>100</v>
      </c>
    </row>
    <row r="211" spans="1:11" ht="63.75">
      <c r="A211" s="256" t="s">
        <v>1561</v>
      </c>
      <c r="B211" s="290" t="s">
        <v>208</v>
      </c>
      <c r="C211" s="290" t="s">
        <v>171</v>
      </c>
      <c r="D211" s="160" t="s">
        <v>223</v>
      </c>
      <c r="E211" s="290" t="s">
        <v>1068</v>
      </c>
      <c r="F211" s="290" t="s">
        <v>227</v>
      </c>
      <c r="G211" s="290" t="s">
        <v>1904</v>
      </c>
      <c r="H211" s="160" t="s">
        <v>1245</v>
      </c>
      <c r="I211" s="140">
        <v>1504500</v>
      </c>
      <c r="J211" s="240">
        <v>1504500</v>
      </c>
      <c r="K211" s="140">
        <f t="shared" si="58"/>
        <v>100</v>
      </c>
    </row>
    <row r="212" spans="1:11" ht="69" customHeight="1">
      <c r="A212" s="256" t="s">
        <v>1608</v>
      </c>
      <c r="B212" s="290" t="s">
        <v>208</v>
      </c>
      <c r="C212" s="290" t="s">
        <v>171</v>
      </c>
      <c r="D212" s="160" t="s">
        <v>223</v>
      </c>
      <c r="E212" s="290" t="s">
        <v>1068</v>
      </c>
      <c r="F212" s="290" t="s">
        <v>227</v>
      </c>
      <c r="G212" s="290" t="s">
        <v>2170</v>
      </c>
      <c r="H212" s="160" t="s">
        <v>1245</v>
      </c>
      <c r="I212" s="140">
        <v>167000</v>
      </c>
      <c r="J212" s="240">
        <v>167000</v>
      </c>
      <c r="K212" s="140">
        <f t="shared" si="58"/>
        <v>100</v>
      </c>
    </row>
    <row r="213" spans="1:11" ht="38.25">
      <c r="A213" s="7" t="s">
        <v>1566</v>
      </c>
      <c r="B213" s="290" t="s">
        <v>208</v>
      </c>
      <c r="C213" s="290" t="s">
        <v>171</v>
      </c>
      <c r="D213" s="160" t="s">
        <v>223</v>
      </c>
      <c r="E213" s="290" t="s">
        <v>1068</v>
      </c>
      <c r="F213" s="290" t="s">
        <v>227</v>
      </c>
      <c r="G213" s="290" t="s">
        <v>1905</v>
      </c>
      <c r="H213" s="160" t="s">
        <v>1245</v>
      </c>
      <c r="I213" s="240">
        <v>351100</v>
      </c>
      <c r="J213" s="240">
        <v>351100</v>
      </c>
      <c r="K213" s="140">
        <f t="shared" si="58"/>
        <v>100</v>
      </c>
    </row>
    <row r="214" spans="1:11" ht="52.5" customHeight="1">
      <c r="A214" s="256" t="s">
        <v>1571</v>
      </c>
      <c r="B214" s="290" t="s">
        <v>208</v>
      </c>
      <c r="C214" s="290" t="s">
        <v>171</v>
      </c>
      <c r="D214" s="160" t="s">
        <v>223</v>
      </c>
      <c r="E214" s="290" t="s">
        <v>1068</v>
      </c>
      <c r="F214" s="290" t="s">
        <v>227</v>
      </c>
      <c r="G214" s="290" t="s">
        <v>2120</v>
      </c>
      <c r="H214" s="160" t="s">
        <v>1245</v>
      </c>
      <c r="I214" s="240">
        <v>4636400</v>
      </c>
      <c r="J214" s="240">
        <v>0</v>
      </c>
      <c r="K214" s="140">
        <f t="shared" si="58"/>
        <v>0</v>
      </c>
    </row>
    <row r="215" spans="1:11" ht="52.5" customHeight="1">
      <c r="A215" s="256" t="s">
        <v>2182</v>
      </c>
      <c r="B215" s="290" t="s">
        <v>208</v>
      </c>
      <c r="C215" s="290" t="s">
        <v>171</v>
      </c>
      <c r="D215" s="160" t="s">
        <v>223</v>
      </c>
      <c r="E215" s="290" t="s">
        <v>1068</v>
      </c>
      <c r="F215" s="290" t="s">
        <v>227</v>
      </c>
      <c r="G215" s="290" t="s">
        <v>2181</v>
      </c>
      <c r="H215" s="160" t="s">
        <v>1245</v>
      </c>
      <c r="I215" s="240">
        <v>4620900.97</v>
      </c>
      <c r="J215" s="240">
        <v>2785157.95</v>
      </c>
      <c r="K215" s="140">
        <f t="shared" si="58"/>
        <v>60.273049954584948</v>
      </c>
    </row>
    <row r="216" spans="1:11" ht="38.25">
      <c r="A216" s="256" t="s">
        <v>1573</v>
      </c>
      <c r="B216" s="290" t="s">
        <v>208</v>
      </c>
      <c r="C216" s="290" t="s">
        <v>171</v>
      </c>
      <c r="D216" s="160" t="s">
        <v>223</v>
      </c>
      <c r="E216" s="290" t="s">
        <v>1068</v>
      </c>
      <c r="F216" s="290" t="s">
        <v>227</v>
      </c>
      <c r="G216" s="290" t="s">
        <v>1906</v>
      </c>
      <c r="H216" s="160" t="s">
        <v>1245</v>
      </c>
      <c r="I216" s="240">
        <f>7640000+1885000</f>
        <v>9525000</v>
      </c>
      <c r="J216" s="240">
        <v>9525000</v>
      </c>
      <c r="K216" s="140">
        <f t="shared" si="58"/>
        <v>100</v>
      </c>
    </row>
    <row r="217" spans="1:11" ht="38.25">
      <c r="A217" s="256" t="s">
        <v>1869</v>
      </c>
      <c r="B217" s="290" t="s">
        <v>208</v>
      </c>
      <c r="C217" s="290" t="s">
        <v>171</v>
      </c>
      <c r="D217" s="160" t="s">
        <v>223</v>
      </c>
      <c r="E217" s="290" t="s">
        <v>1068</v>
      </c>
      <c r="F217" s="290" t="s">
        <v>227</v>
      </c>
      <c r="G217" s="290" t="s">
        <v>1907</v>
      </c>
      <c r="H217" s="160" t="s">
        <v>1245</v>
      </c>
      <c r="I217" s="240">
        <v>1827000</v>
      </c>
      <c r="J217" s="240">
        <v>1827000</v>
      </c>
      <c r="K217" s="140">
        <f t="shared" si="58"/>
        <v>100</v>
      </c>
    </row>
    <row r="218" spans="1:11" ht="42" customHeight="1">
      <c r="A218" s="256" t="s">
        <v>2172</v>
      </c>
      <c r="B218" s="290" t="s">
        <v>208</v>
      </c>
      <c r="C218" s="290" t="s">
        <v>171</v>
      </c>
      <c r="D218" s="160" t="s">
        <v>223</v>
      </c>
      <c r="E218" s="290" t="s">
        <v>1068</v>
      </c>
      <c r="F218" s="290" t="s">
        <v>227</v>
      </c>
      <c r="G218" s="290" t="s">
        <v>2171</v>
      </c>
      <c r="H218" s="160" t="s">
        <v>1245</v>
      </c>
      <c r="I218" s="240">
        <v>11180757.5</v>
      </c>
      <c r="J218" s="240">
        <v>11180757.5</v>
      </c>
      <c r="K218" s="140">
        <f t="shared" si="58"/>
        <v>100</v>
      </c>
    </row>
    <row r="219" spans="1:11" ht="57" customHeight="1">
      <c r="A219" s="256" t="s">
        <v>2179</v>
      </c>
      <c r="B219" s="290" t="s">
        <v>208</v>
      </c>
      <c r="C219" s="290" t="s">
        <v>171</v>
      </c>
      <c r="D219" s="160" t="s">
        <v>223</v>
      </c>
      <c r="E219" s="290" t="s">
        <v>1068</v>
      </c>
      <c r="F219" s="290" t="s">
        <v>227</v>
      </c>
      <c r="G219" s="290" t="s">
        <v>2178</v>
      </c>
      <c r="H219" s="160" t="s">
        <v>1245</v>
      </c>
      <c r="I219" s="240">
        <f>374480.09+195519.91</f>
        <v>570000</v>
      </c>
      <c r="J219" s="240">
        <v>374480.09</v>
      </c>
      <c r="K219" s="140">
        <f t="shared" si="58"/>
        <v>65.698261403508766</v>
      </c>
    </row>
    <row r="220" spans="1:11" ht="57" customHeight="1">
      <c r="A220" s="256" t="s">
        <v>1655</v>
      </c>
      <c r="B220" s="290" t="s">
        <v>208</v>
      </c>
      <c r="C220" s="290" t="s">
        <v>171</v>
      </c>
      <c r="D220" s="160" t="s">
        <v>223</v>
      </c>
      <c r="E220" s="290" t="s">
        <v>1068</v>
      </c>
      <c r="F220" s="290" t="s">
        <v>227</v>
      </c>
      <c r="G220" s="290" t="s">
        <v>2236</v>
      </c>
      <c r="H220" s="160" t="s">
        <v>1245</v>
      </c>
      <c r="I220" s="240">
        <v>1323700</v>
      </c>
      <c r="J220" s="240">
        <v>844731</v>
      </c>
      <c r="K220" s="140">
        <f t="shared" si="58"/>
        <v>63.815894840220587</v>
      </c>
    </row>
    <row r="221" spans="1:11">
      <c r="A221" s="7" t="s">
        <v>1400</v>
      </c>
      <c r="B221" s="290" t="s">
        <v>208</v>
      </c>
      <c r="C221" s="290" t="s">
        <v>171</v>
      </c>
      <c r="D221" s="160" t="s">
        <v>223</v>
      </c>
      <c r="E221" s="290" t="s">
        <v>1908</v>
      </c>
      <c r="F221" s="290" t="s">
        <v>127</v>
      </c>
      <c r="G221" s="290" t="s">
        <v>129</v>
      </c>
      <c r="H221" s="160" t="s">
        <v>1245</v>
      </c>
      <c r="I221" s="139">
        <f>I222+I246+I248+I250</f>
        <v>1167954935.9199998</v>
      </c>
      <c r="J221" s="139">
        <f>J222+J246+J248+J250</f>
        <v>1164109452.99</v>
      </c>
      <c r="K221" s="140">
        <f t="shared" si="58"/>
        <v>99.670750744593519</v>
      </c>
    </row>
    <row r="222" spans="1:11" ht="25.5">
      <c r="A222" s="7" t="s">
        <v>6</v>
      </c>
      <c r="B222" s="290" t="s">
        <v>208</v>
      </c>
      <c r="C222" s="290" t="s">
        <v>171</v>
      </c>
      <c r="D222" s="160" t="s">
        <v>223</v>
      </c>
      <c r="E222" s="290" t="s">
        <v>1909</v>
      </c>
      <c r="F222" s="290" t="s">
        <v>127</v>
      </c>
      <c r="G222" s="290" t="s">
        <v>129</v>
      </c>
      <c r="H222" s="160" t="s">
        <v>1245</v>
      </c>
      <c r="I222" s="240">
        <f t="shared" ref="I222:J222" si="60">I223</f>
        <v>1160599530.6199999</v>
      </c>
      <c r="J222" s="240">
        <f t="shared" si="60"/>
        <v>1156790520.29</v>
      </c>
      <c r="K222" s="140">
        <f t="shared" si="58"/>
        <v>99.671806662892138</v>
      </c>
    </row>
    <row r="223" spans="1:11" ht="25.5">
      <c r="A223" s="256" t="s">
        <v>7</v>
      </c>
      <c r="B223" s="290" t="s">
        <v>208</v>
      </c>
      <c r="C223" s="290" t="s">
        <v>171</v>
      </c>
      <c r="D223" s="160" t="s">
        <v>223</v>
      </c>
      <c r="E223" s="290" t="s">
        <v>1909</v>
      </c>
      <c r="F223" s="290" t="s">
        <v>227</v>
      </c>
      <c r="G223" s="290" t="s">
        <v>129</v>
      </c>
      <c r="H223" s="160" t="s">
        <v>1245</v>
      </c>
      <c r="I223" s="240">
        <f t="shared" ref="I223:J223" si="61">SUM(I224:I245)</f>
        <v>1160599530.6199999</v>
      </c>
      <c r="J223" s="240">
        <f t="shared" si="61"/>
        <v>1156790520.29</v>
      </c>
      <c r="K223" s="140">
        <f t="shared" si="58"/>
        <v>99.671806662892138</v>
      </c>
    </row>
    <row r="224" spans="1:11" ht="76.5">
      <c r="A224" s="256" t="s">
        <v>1578</v>
      </c>
      <c r="B224" s="290" t="s">
        <v>208</v>
      </c>
      <c r="C224" s="290" t="s">
        <v>171</v>
      </c>
      <c r="D224" s="160" t="s">
        <v>223</v>
      </c>
      <c r="E224" s="290" t="s">
        <v>1909</v>
      </c>
      <c r="F224" s="290" t="s">
        <v>227</v>
      </c>
      <c r="G224" s="290" t="s">
        <v>1910</v>
      </c>
      <c r="H224" s="160" t="s">
        <v>1245</v>
      </c>
      <c r="I224" s="240">
        <f>911400+77700+36800</f>
        <v>1025900</v>
      </c>
      <c r="J224" s="240">
        <v>1000700</v>
      </c>
      <c r="K224" s="140">
        <f t="shared" si="58"/>
        <v>97.543620235890444</v>
      </c>
    </row>
    <row r="225" spans="1:11" ht="153">
      <c r="A225" s="256" t="s">
        <v>1581</v>
      </c>
      <c r="B225" s="290" t="s">
        <v>208</v>
      </c>
      <c r="C225" s="290" t="s">
        <v>171</v>
      </c>
      <c r="D225" s="160" t="s">
        <v>223</v>
      </c>
      <c r="E225" s="290" t="s">
        <v>1909</v>
      </c>
      <c r="F225" s="290" t="s">
        <v>227</v>
      </c>
      <c r="G225" s="290" t="s">
        <v>1911</v>
      </c>
      <c r="H225" s="160" t="s">
        <v>1245</v>
      </c>
      <c r="I225" s="240">
        <f>90344200+5594370+5084900+2092600+5062500+3308300</f>
        <v>111486870</v>
      </c>
      <c r="J225" s="240">
        <v>111486870</v>
      </c>
      <c r="K225" s="140">
        <f t="shared" si="58"/>
        <v>100</v>
      </c>
    </row>
    <row r="226" spans="1:11" ht="153">
      <c r="A226" s="256" t="s">
        <v>1582</v>
      </c>
      <c r="B226" s="290" t="s">
        <v>208</v>
      </c>
      <c r="C226" s="290" t="s">
        <v>171</v>
      </c>
      <c r="D226" s="160" t="s">
        <v>223</v>
      </c>
      <c r="E226" s="290" t="s">
        <v>1909</v>
      </c>
      <c r="F226" s="290" t="s">
        <v>227</v>
      </c>
      <c r="G226" s="290" t="s">
        <v>1912</v>
      </c>
      <c r="H226" s="160" t="s">
        <v>1245</v>
      </c>
      <c r="I226" s="240">
        <f>92779300+1352700+429800+3993640+6323378+1257500+44600</f>
        <v>106180918</v>
      </c>
      <c r="J226" s="240">
        <v>106180918</v>
      </c>
      <c r="K226" s="140">
        <f t="shared" si="58"/>
        <v>100</v>
      </c>
    </row>
    <row r="227" spans="1:11" ht="51">
      <c r="A227" s="7" t="s">
        <v>1583</v>
      </c>
      <c r="B227" s="290" t="s">
        <v>208</v>
      </c>
      <c r="C227" s="290" t="s">
        <v>171</v>
      </c>
      <c r="D227" s="160" t="s">
        <v>223</v>
      </c>
      <c r="E227" s="290" t="s">
        <v>1909</v>
      </c>
      <c r="F227" s="290" t="s">
        <v>227</v>
      </c>
      <c r="G227" s="290" t="s">
        <v>1913</v>
      </c>
      <c r="H227" s="160" t="s">
        <v>1245</v>
      </c>
      <c r="I227" s="240">
        <f>81000+7800+3700+30000</f>
        <v>122500</v>
      </c>
      <c r="J227" s="240">
        <v>122500</v>
      </c>
      <c r="K227" s="140">
        <f t="shared" si="58"/>
        <v>100</v>
      </c>
    </row>
    <row r="228" spans="1:11" ht="63.75">
      <c r="A228" s="7" t="s">
        <v>1660</v>
      </c>
      <c r="B228" s="290" t="s">
        <v>208</v>
      </c>
      <c r="C228" s="290" t="s">
        <v>171</v>
      </c>
      <c r="D228" s="160" t="s">
        <v>223</v>
      </c>
      <c r="E228" s="290" t="s">
        <v>1909</v>
      </c>
      <c r="F228" s="290" t="s">
        <v>227</v>
      </c>
      <c r="G228" s="290" t="s">
        <v>1914</v>
      </c>
      <c r="H228" s="160" t="s">
        <v>1245</v>
      </c>
      <c r="I228" s="240">
        <f>1887000+167500+79200</f>
        <v>2133700</v>
      </c>
      <c r="J228" s="240">
        <v>1344148.67</v>
      </c>
      <c r="K228" s="140">
        <f t="shared" si="58"/>
        <v>62.996141444439232</v>
      </c>
    </row>
    <row r="229" spans="1:11" ht="63.75">
      <c r="A229" s="256" t="s">
        <v>1584</v>
      </c>
      <c r="B229" s="290" t="s">
        <v>208</v>
      </c>
      <c r="C229" s="290" t="s">
        <v>171</v>
      </c>
      <c r="D229" s="160" t="s">
        <v>223</v>
      </c>
      <c r="E229" s="290" t="s">
        <v>1909</v>
      </c>
      <c r="F229" s="290" t="s">
        <v>227</v>
      </c>
      <c r="G229" s="290" t="s">
        <v>1915</v>
      </c>
      <c r="H229" s="160" t="s">
        <v>1245</v>
      </c>
      <c r="I229" s="240">
        <f>828000+77700+36750</f>
        <v>942450</v>
      </c>
      <c r="J229" s="240">
        <v>942450</v>
      </c>
      <c r="K229" s="140">
        <f t="shared" si="58"/>
        <v>100</v>
      </c>
    </row>
    <row r="230" spans="1:11" ht="51">
      <c r="A230" s="256" t="s">
        <v>1586</v>
      </c>
      <c r="B230" s="290" t="s">
        <v>208</v>
      </c>
      <c r="C230" s="290" t="s">
        <v>171</v>
      </c>
      <c r="D230" s="160" t="s">
        <v>223</v>
      </c>
      <c r="E230" s="290" t="s">
        <v>1909</v>
      </c>
      <c r="F230" s="290" t="s">
        <v>227</v>
      </c>
      <c r="G230" s="290" t="s">
        <v>1916</v>
      </c>
      <c r="H230" s="160" t="s">
        <v>1245</v>
      </c>
      <c r="I230" s="240">
        <f>302500+9100</f>
        <v>311600</v>
      </c>
      <c r="J230" s="240">
        <v>311600</v>
      </c>
      <c r="K230" s="140">
        <f t="shared" si="58"/>
        <v>100</v>
      </c>
    </row>
    <row r="231" spans="1:11" ht="38.25">
      <c r="A231" s="256" t="s">
        <v>1587</v>
      </c>
      <c r="B231" s="290" t="s">
        <v>208</v>
      </c>
      <c r="C231" s="290" t="s">
        <v>171</v>
      </c>
      <c r="D231" s="160" t="s">
        <v>223</v>
      </c>
      <c r="E231" s="290" t="s">
        <v>1909</v>
      </c>
      <c r="F231" s="290" t="s">
        <v>227</v>
      </c>
      <c r="G231" s="290" t="s">
        <v>1917</v>
      </c>
      <c r="H231" s="160" t="s">
        <v>1245</v>
      </c>
      <c r="I231" s="240">
        <f>1742200+155400+73517</f>
        <v>1971117</v>
      </c>
      <c r="J231" s="240">
        <v>1971117</v>
      </c>
      <c r="K231" s="140">
        <f t="shared" si="58"/>
        <v>100</v>
      </c>
    </row>
    <row r="232" spans="1:11" ht="51">
      <c r="A232" s="7" t="s">
        <v>1588</v>
      </c>
      <c r="B232" s="290" t="s">
        <v>208</v>
      </c>
      <c r="C232" s="290" t="s">
        <v>171</v>
      </c>
      <c r="D232" s="160" t="s">
        <v>223</v>
      </c>
      <c r="E232" s="290" t="s">
        <v>1909</v>
      </c>
      <c r="F232" s="290" t="s">
        <v>227</v>
      </c>
      <c r="G232" s="290" t="s">
        <v>1918</v>
      </c>
      <c r="H232" s="160" t="s">
        <v>1245</v>
      </c>
      <c r="I232" s="240">
        <f>786000+7800+3677+1025900</f>
        <v>1823377</v>
      </c>
      <c r="J232" s="240">
        <v>1823064.2199999997</v>
      </c>
      <c r="K232" s="140">
        <f t="shared" si="58"/>
        <v>99.982846114654279</v>
      </c>
    </row>
    <row r="233" spans="1:11" ht="51">
      <c r="A233" s="256" t="s">
        <v>1589</v>
      </c>
      <c r="B233" s="290" t="s">
        <v>208</v>
      </c>
      <c r="C233" s="290" t="s">
        <v>171</v>
      </c>
      <c r="D233" s="160" t="s">
        <v>223</v>
      </c>
      <c r="E233" s="290" t="s">
        <v>1909</v>
      </c>
      <c r="F233" s="290" t="s">
        <v>227</v>
      </c>
      <c r="G233" s="290" t="s">
        <v>1919</v>
      </c>
      <c r="H233" s="160" t="s">
        <v>1245</v>
      </c>
      <c r="I233" s="240">
        <f>131900+10955+5180</f>
        <v>148035</v>
      </c>
      <c r="J233" s="240">
        <v>148035</v>
      </c>
      <c r="K233" s="140">
        <f t="shared" si="58"/>
        <v>100</v>
      </c>
    </row>
    <row r="234" spans="1:11" ht="51">
      <c r="A234" s="256" t="s">
        <v>1590</v>
      </c>
      <c r="B234" s="290" t="s">
        <v>208</v>
      </c>
      <c r="C234" s="290" t="s">
        <v>171</v>
      </c>
      <c r="D234" s="160" t="s">
        <v>223</v>
      </c>
      <c r="E234" s="290" t="s">
        <v>1909</v>
      </c>
      <c r="F234" s="290" t="s">
        <v>227</v>
      </c>
      <c r="G234" s="290" t="s">
        <v>1920</v>
      </c>
      <c r="H234" s="160" t="s">
        <v>1245</v>
      </c>
      <c r="I234" s="240">
        <f>6099700+466300+220560</f>
        <v>6786560</v>
      </c>
      <c r="J234" s="240">
        <v>6112506.3100000005</v>
      </c>
      <c r="K234" s="140">
        <f t="shared" si="58"/>
        <v>90.06781506389099</v>
      </c>
    </row>
    <row r="235" spans="1:11" ht="102">
      <c r="A235" s="256" t="s">
        <v>1591</v>
      </c>
      <c r="B235" s="290" t="s">
        <v>208</v>
      </c>
      <c r="C235" s="290" t="s">
        <v>171</v>
      </c>
      <c r="D235" s="160" t="s">
        <v>223</v>
      </c>
      <c r="E235" s="290" t="s">
        <v>1909</v>
      </c>
      <c r="F235" s="290" t="s">
        <v>227</v>
      </c>
      <c r="G235" s="290" t="s">
        <v>1921</v>
      </c>
      <c r="H235" s="160" t="s">
        <v>1245</v>
      </c>
      <c r="I235" s="240">
        <v>817000</v>
      </c>
      <c r="J235" s="240">
        <v>817000</v>
      </c>
      <c r="K235" s="140">
        <f t="shared" si="58"/>
        <v>100</v>
      </c>
    </row>
    <row r="236" spans="1:11" ht="114.75">
      <c r="A236" s="256" t="s">
        <v>1592</v>
      </c>
      <c r="B236" s="290" t="s">
        <v>208</v>
      </c>
      <c r="C236" s="290" t="s">
        <v>171</v>
      </c>
      <c r="D236" s="160" t="s">
        <v>223</v>
      </c>
      <c r="E236" s="290" t="s">
        <v>1909</v>
      </c>
      <c r="F236" s="290" t="s">
        <v>227</v>
      </c>
      <c r="G236" s="290" t="s">
        <v>1922</v>
      </c>
      <c r="H236" s="160" t="s">
        <v>1245</v>
      </c>
      <c r="I236" s="240">
        <f>386185600+9216600+1082516-53791+793358.94+17743630.68+3188380+18955294.26</f>
        <v>437111588.88</v>
      </c>
      <c r="J236" s="240">
        <v>437111588.88</v>
      </c>
      <c r="K236" s="140">
        <f t="shared" si="58"/>
        <v>100</v>
      </c>
    </row>
    <row r="237" spans="1:11" ht="76.5">
      <c r="A237" s="256" t="s">
        <v>1593</v>
      </c>
      <c r="B237" s="290" t="s">
        <v>208</v>
      </c>
      <c r="C237" s="290" t="s">
        <v>171</v>
      </c>
      <c r="D237" s="160" t="s">
        <v>223</v>
      </c>
      <c r="E237" s="290" t="s">
        <v>1909</v>
      </c>
      <c r="F237" s="290" t="s">
        <v>227</v>
      </c>
      <c r="G237" s="290" t="s">
        <v>1923</v>
      </c>
      <c r="H237" s="160" t="s">
        <v>1245</v>
      </c>
      <c r="I237" s="240">
        <f>25151300-6350000</f>
        <v>18801300</v>
      </c>
      <c r="J237" s="240">
        <v>18781300</v>
      </c>
      <c r="K237" s="140">
        <f t="shared" si="58"/>
        <v>99.893624377037753</v>
      </c>
    </row>
    <row r="238" spans="1:11" ht="51">
      <c r="A238" s="7" t="s">
        <v>1594</v>
      </c>
      <c r="B238" s="290" t="s">
        <v>208</v>
      </c>
      <c r="C238" s="290" t="s">
        <v>171</v>
      </c>
      <c r="D238" s="160" t="s">
        <v>223</v>
      </c>
      <c r="E238" s="290" t="s">
        <v>1909</v>
      </c>
      <c r="F238" s="290" t="s">
        <v>227</v>
      </c>
      <c r="G238" s="290" t="s">
        <v>1924</v>
      </c>
      <c r="H238" s="160" t="s">
        <v>1245</v>
      </c>
      <c r="I238" s="240">
        <f>227801100-16010200</f>
        <v>211790900</v>
      </c>
      <c r="J238" s="240">
        <v>211790900</v>
      </c>
      <c r="K238" s="140">
        <f t="shared" si="58"/>
        <v>100</v>
      </c>
    </row>
    <row r="239" spans="1:11" ht="76.5">
      <c r="A239" s="256" t="s">
        <v>1595</v>
      </c>
      <c r="B239" s="290" t="s">
        <v>208</v>
      </c>
      <c r="C239" s="290" t="s">
        <v>171</v>
      </c>
      <c r="D239" s="160" t="s">
        <v>223</v>
      </c>
      <c r="E239" s="290" t="s">
        <v>1909</v>
      </c>
      <c r="F239" s="290" t="s">
        <v>227</v>
      </c>
      <c r="G239" s="290" t="s">
        <v>1925</v>
      </c>
      <c r="H239" s="160" t="s">
        <v>1245</v>
      </c>
      <c r="I239" s="240">
        <f>17100500+1551800</f>
        <v>18652300</v>
      </c>
      <c r="J239" s="240">
        <v>18652300</v>
      </c>
      <c r="K239" s="140">
        <f t="shared" si="58"/>
        <v>100</v>
      </c>
    </row>
    <row r="240" spans="1:11" ht="63.75">
      <c r="A240" s="256" t="s">
        <v>1596</v>
      </c>
      <c r="B240" s="290" t="s">
        <v>208</v>
      </c>
      <c r="C240" s="290" t="s">
        <v>171</v>
      </c>
      <c r="D240" s="160" t="s">
        <v>223</v>
      </c>
      <c r="E240" s="290" t="s">
        <v>1909</v>
      </c>
      <c r="F240" s="290" t="s">
        <v>227</v>
      </c>
      <c r="G240" s="290" t="s">
        <v>1926</v>
      </c>
      <c r="H240" s="160" t="s">
        <v>1245</v>
      </c>
      <c r="I240" s="240">
        <f>3328400-2412182+4282516+3589834+9900</f>
        <v>8798468</v>
      </c>
      <c r="J240" s="240">
        <v>6498990.5699999994</v>
      </c>
      <c r="K240" s="140">
        <f t="shared" si="58"/>
        <v>73.865024797498833</v>
      </c>
    </row>
    <row r="241" spans="1:11" ht="165.75">
      <c r="A241" s="256" t="s">
        <v>1597</v>
      </c>
      <c r="B241" s="290" t="s">
        <v>208</v>
      </c>
      <c r="C241" s="290" t="s">
        <v>171</v>
      </c>
      <c r="D241" s="160" t="s">
        <v>223</v>
      </c>
      <c r="E241" s="290" t="s">
        <v>1909</v>
      </c>
      <c r="F241" s="290" t="s">
        <v>227</v>
      </c>
      <c r="G241" s="290" t="s">
        <v>1927</v>
      </c>
      <c r="H241" s="160" t="s">
        <v>1245</v>
      </c>
      <c r="I241" s="240">
        <f>151897400-1174900+5774400+5463500+5894146.74</f>
        <v>167854546.74000001</v>
      </c>
      <c r="J241" s="240">
        <v>167854546.74000001</v>
      </c>
      <c r="K241" s="140">
        <f t="shared" si="58"/>
        <v>100</v>
      </c>
    </row>
    <row r="242" spans="1:11" ht="51">
      <c r="A242" s="7" t="s">
        <v>1598</v>
      </c>
      <c r="B242" s="290" t="s">
        <v>208</v>
      </c>
      <c r="C242" s="290" t="s">
        <v>171</v>
      </c>
      <c r="D242" s="160" t="s">
        <v>223</v>
      </c>
      <c r="E242" s="290" t="s">
        <v>1909</v>
      </c>
      <c r="F242" s="290" t="s">
        <v>227</v>
      </c>
      <c r="G242" s="290" t="s">
        <v>1928</v>
      </c>
      <c r="H242" s="160" t="s">
        <v>1245</v>
      </c>
      <c r="I242" s="240">
        <v>47081000</v>
      </c>
      <c r="J242" s="240">
        <v>47081000</v>
      </c>
      <c r="K242" s="140">
        <f t="shared" si="58"/>
        <v>100</v>
      </c>
    </row>
    <row r="243" spans="1:11" ht="51">
      <c r="A243" s="7" t="s">
        <v>1599</v>
      </c>
      <c r="B243" s="290" t="s">
        <v>208</v>
      </c>
      <c r="C243" s="290" t="s">
        <v>171</v>
      </c>
      <c r="D243" s="160" t="s">
        <v>223</v>
      </c>
      <c r="E243" s="290" t="s">
        <v>1909</v>
      </c>
      <c r="F243" s="290" t="s">
        <v>227</v>
      </c>
      <c r="G243" s="290" t="s">
        <v>1929</v>
      </c>
      <c r="H243" s="160" t="s">
        <v>1245</v>
      </c>
      <c r="I243" s="139">
        <f>1624300+874400+110300</f>
        <v>2609000</v>
      </c>
      <c r="J243" s="240">
        <v>2609000</v>
      </c>
      <c r="K243" s="140">
        <f t="shared" si="58"/>
        <v>100</v>
      </c>
    </row>
    <row r="244" spans="1:11" ht="38.25">
      <c r="A244" s="7" t="s">
        <v>1600</v>
      </c>
      <c r="B244" s="290" t="s">
        <v>208</v>
      </c>
      <c r="C244" s="290" t="s">
        <v>171</v>
      </c>
      <c r="D244" s="160" t="s">
        <v>223</v>
      </c>
      <c r="E244" s="290" t="s">
        <v>1909</v>
      </c>
      <c r="F244" s="290" t="s">
        <v>227</v>
      </c>
      <c r="G244" s="290" t="s">
        <v>1930</v>
      </c>
      <c r="H244" s="160" t="s">
        <v>1245</v>
      </c>
      <c r="I244" s="240">
        <f>11850300+2808600+308800-938000</f>
        <v>14029700</v>
      </c>
      <c r="J244" s="240">
        <v>14029284.9</v>
      </c>
      <c r="K244" s="140">
        <f t="shared" si="58"/>
        <v>99.997041276720097</v>
      </c>
    </row>
    <row r="245" spans="1:11" ht="89.25">
      <c r="A245" s="256" t="s">
        <v>1870</v>
      </c>
      <c r="B245" s="290" t="s">
        <v>208</v>
      </c>
      <c r="C245" s="290" t="s">
        <v>171</v>
      </c>
      <c r="D245" s="160" t="s">
        <v>223</v>
      </c>
      <c r="E245" s="290" t="s">
        <v>1909</v>
      </c>
      <c r="F245" s="290" t="s">
        <v>227</v>
      </c>
      <c r="G245" s="290" t="s">
        <v>1931</v>
      </c>
      <c r="H245" s="160" t="s">
        <v>1245</v>
      </c>
      <c r="I245" s="240">
        <f>105500+10300+4900</f>
        <v>120700</v>
      </c>
      <c r="J245" s="240">
        <v>120700</v>
      </c>
      <c r="K245" s="140">
        <f t="shared" si="58"/>
        <v>100</v>
      </c>
    </row>
    <row r="246" spans="1:11" ht="51">
      <c r="A246" s="7" t="s">
        <v>1401</v>
      </c>
      <c r="B246" s="290" t="s">
        <v>208</v>
      </c>
      <c r="C246" s="290" t="s">
        <v>171</v>
      </c>
      <c r="D246" s="160" t="s">
        <v>223</v>
      </c>
      <c r="E246" s="290" t="s">
        <v>1932</v>
      </c>
      <c r="F246" s="290" t="s">
        <v>127</v>
      </c>
      <c r="G246" s="290" t="s">
        <v>129</v>
      </c>
      <c r="H246" s="160" t="s">
        <v>1245</v>
      </c>
      <c r="I246" s="139">
        <f t="shared" ref="I246:J246" si="62">I247</f>
        <v>1488880</v>
      </c>
      <c r="J246" s="139">
        <f t="shared" si="62"/>
        <v>1488879.55</v>
      </c>
      <c r="K246" s="140">
        <f t="shared" si="58"/>
        <v>99.999969775938965</v>
      </c>
    </row>
    <row r="247" spans="1:11" ht="51">
      <c r="A247" s="7" t="s">
        <v>1871</v>
      </c>
      <c r="B247" s="290" t="s">
        <v>208</v>
      </c>
      <c r="C247" s="290" t="s">
        <v>171</v>
      </c>
      <c r="D247" s="160" t="s">
        <v>223</v>
      </c>
      <c r="E247" s="290" t="s">
        <v>1932</v>
      </c>
      <c r="F247" s="290" t="s">
        <v>227</v>
      </c>
      <c r="G247" s="290" t="s">
        <v>129</v>
      </c>
      <c r="H247" s="160" t="s">
        <v>1245</v>
      </c>
      <c r="I247" s="240">
        <f>2561300-1072420</f>
        <v>1488880</v>
      </c>
      <c r="J247" s="240">
        <v>1488879.55</v>
      </c>
      <c r="K247" s="140">
        <f t="shared" si="58"/>
        <v>99.999969775938965</v>
      </c>
    </row>
    <row r="248" spans="1:11" ht="38.25">
      <c r="A248" s="7" t="s">
        <v>1933</v>
      </c>
      <c r="B248" s="290" t="s">
        <v>208</v>
      </c>
      <c r="C248" s="290" t="s">
        <v>171</v>
      </c>
      <c r="D248" s="160" t="s">
        <v>223</v>
      </c>
      <c r="E248" s="290" t="s">
        <v>1934</v>
      </c>
      <c r="F248" s="290" t="s">
        <v>127</v>
      </c>
      <c r="G248" s="290" t="s">
        <v>129</v>
      </c>
      <c r="H248" s="160" t="s">
        <v>1245</v>
      </c>
      <c r="I248" s="139">
        <f t="shared" ref="I248:J248" si="63">I249</f>
        <v>5647725.2999999998</v>
      </c>
      <c r="J248" s="139">
        <f t="shared" si="63"/>
        <v>5611837.9299999997</v>
      </c>
      <c r="K248" s="140">
        <f t="shared" si="58"/>
        <v>99.364569484284232</v>
      </c>
    </row>
    <row r="249" spans="1:11" ht="38.25">
      <c r="A249" s="7" t="s">
        <v>1935</v>
      </c>
      <c r="B249" s="290" t="s">
        <v>208</v>
      </c>
      <c r="C249" s="290" t="s">
        <v>171</v>
      </c>
      <c r="D249" s="160" t="s">
        <v>223</v>
      </c>
      <c r="E249" s="290" t="s">
        <v>1934</v>
      </c>
      <c r="F249" s="290" t="s">
        <v>227</v>
      </c>
      <c r="G249" s="290" t="s">
        <v>129</v>
      </c>
      <c r="H249" s="160" t="s">
        <v>1245</v>
      </c>
      <c r="I249" s="240">
        <f>5538700-96800+325825.3-120000</f>
        <v>5647725.2999999998</v>
      </c>
      <c r="J249" s="240">
        <v>5611837.9299999997</v>
      </c>
      <c r="K249" s="140">
        <f t="shared" si="58"/>
        <v>99.364569484284232</v>
      </c>
    </row>
    <row r="250" spans="1:11" ht="38.25">
      <c r="A250" s="7" t="s">
        <v>1213</v>
      </c>
      <c r="B250" s="290" t="s">
        <v>162</v>
      </c>
      <c r="C250" s="290" t="s">
        <v>171</v>
      </c>
      <c r="D250" s="160" t="s">
        <v>223</v>
      </c>
      <c r="E250" s="290" t="s">
        <v>1936</v>
      </c>
      <c r="F250" s="290" t="s">
        <v>127</v>
      </c>
      <c r="G250" s="290" t="s">
        <v>129</v>
      </c>
      <c r="H250" s="160" t="s">
        <v>1245</v>
      </c>
      <c r="I250" s="240">
        <f t="shared" ref="I250:J250" si="64">I251</f>
        <v>218800</v>
      </c>
      <c r="J250" s="240">
        <f t="shared" si="64"/>
        <v>218215.22</v>
      </c>
      <c r="K250" s="140">
        <f t="shared" si="58"/>
        <v>99.732733089579526</v>
      </c>
    </row>
    <row r="251" spans="1:11" ht="51">
      <c r="A251" s="7" t="s">
        <v>1404</v>
      </c>
      <c r="B251" s="290" t="s">
        <v>208</v>
      </c>
      <c r="C251" s="290" t="s">
        <v>171</v>
      </c>
      <c r="D251" s="160" t="s">
        <v>223</v>
      </c>
      <c r="E251" s="290" t="s">
        <v>1936</v>
      </c>
      <c r="F251" s="290" t="s">
        <v>227</v>
      </c>
      <c r="G251" s="290" t="s">
        <v>129</v>
      </c>
      <c r="H251" s="160" t="s">
        <v>1245</v>
      </c>
      <c r="I251" s="240">
        <f>227900-9100</f>
        <v>218800</v>
      </c>
      <c r="J251" s="240">
        <v>218215.22</v>
      </c>
      <c r="K251" s="140">
        <f t="shared" si="58"/>
        <v>99.732733089579526</v>
      </c>
    </row>
    <row r="252" spans="1:11">
      <c r="A252" s="7" t="s">
        <v>68</v>
      </c>
      <c r="B252" s="290" t="s">
        <v>208</v>
      </c>
      <c r="C252" s="290" t="s">
        <v>171</v>
      </c>
      <c r="D252" s="160" t="s">
        <v>223</v>
      </c>
      <c r="E252" s="290" t="s">
        <v>1937</v>
      </c>
      <c r="F252" s="290" t="s">
        <v>127</v>
      </c>
      <c r="G252" s="290" t="s">
        <v>129</v>
      </c>
      <c r="H252" s="160" t="s">
        <v>1245</v>
      </c>
      <c r="I252" s="139">
        <f>I253+I255+I259+I257</f>
        <v>329546995.13</v>
      </c>
      <c r="J252" s="139">
        <f t="shared" ref="J252" si="65">J253+J255+J259+J257</f>
        <v>307028088.63</v>
      </c>
      <c r="K252" s="140">
        <f t="shared" si="58"/>
        <v>93.166708593074347</v>
      </c>
    </row>
    <row r="253" spans="1:11" ht="51">
      <c r="A253" s="7" t="s">
        <v>1158</v>
      </c>
      <c r="B253" s="290" t="s">
        <v>208</v>
      </c>
      <c r="C253" s="290" t="s">
        <v>171</v>
      </c>
      <c r="D253" s="290" t="s">
        <v>223</v>
      </c>
      <c r="E253" s="290" t="s">
        <v>1938</v>
      </c>
      <c r="F253" s="290" t="s">
        <v>127</v>
      </c>
      <c r="G253" s="290" t="s">
        <v>129</v>
      </c>
      <c r="H253" s="160" t="s">
        <v>1245</v>
      </c>
      <c r="I253" s="139">
        <f t="shared" ref="I253:J253" si="66">I254</f>
        <v>189750807.20000002</v>
      </c>
      <c r="J253" s="139">
        <f t="shared" si="66"/>
        <v>171458344</v>
      </c>
      <c r="K253" s="140">
        <f t="shared" si="58"/>
        <v>90.35974419823178</v>
      </c>
    </row>
    <row r="254" spans="1:11" ht="51">
      <c r="A254" s="397" t="s">
        <v>218</v>
      </c>
      <c r="B254" s="397" t="s">
        <v>208</v>
      </c>
      <c r="C254" s="397" t="s">
        <v>171</v>
      </c>
      <c r="D254" s="397" t="s">
        <v>223</v>
      </c>
      <c r="E254" s="397" t="s">
        <v>1938</v>
      </c>
      <c r="F254" s="397" t="s">
        <v>227</v>
      </c>
      <c r="G254" s="397" t="s">
        <v>129</v>
      </c>
      <c r="H254" s="398" t="s">
        <v>1245</v>
      </c>
      <c r="I254" s="240">
        <f>1603323+854870+13976+33137800+109800000+90993+334948.4+1207188+41999400+706994.8+1314</f>
        <v>189750807.20000002</v>
      </c>
      <c r="J254" s="240">
        <v>171458344</v>
      </c>
      <c r="K254" s="140">
        <f t="shared" si="58"/>
        <v>90.35974419823178</v>
      </c>
    </row>
    <row r="255" spans="1:11" ht="38.25">
      <c r="A255" s="7" t="s">
        <v>1985</v>
      </c>
      <c r="B255" s="161">
        <v>890</v>
      </c>
      <c r="C255" s="161" t="s">
        <v>171</v>
      </c>
      <c r="D255" s="161" t="s">
        <v>223</v>
      </c>
      <c r="E255" s="161" t="s">
        <v>1986</v>
      </c>
      <c r="F255" s="161" t="s">
        <v>127</v>
      </c>
      <c r="G255" s="161" t="s">
        <v>129</v>
      </c>
      <c r="H255" s="160">
        <v>150</v>
      </c>
      <c r="I255" s="240">
        <f>I256</f>
        <v>44461522.729999997</v>
      </c>
      <c r="J255" s="240">
        <f t="shared" ref="J255" si="67">J256</f>
        <v>44461522.729999997</v>
      </c>
      <c r="K255" s="140">
        <f t="shared" si="58"/>
        <v>100</v>
      </c>
    </row>
    <row r="256" spans="1:11" ht="51">
      <c r="A256" s="7" t="s">
        <v>1987</v>
      </c>
      <c r="B256" s="161" t="s">
        <v>208</v>
      </c>
      <c r="C256" s="161" t="s">
        <v>171</v>
      </c>
      <c r="D256" s="161" t="s">
        <v>223</v>
      </c>
      <c r="E256" s="161" t="s">
        <v>1986</v>
      </c>
      <c r="F256" s="161" t="s">
        <v>227</v>
      </c>
      <c r="G256" s="161" t="s">
        <v>129</v>
      </c>
      <c r="H256" s="160" t="s">
        <v>1245</v>
      </c>
      <c r="I256" s="240">
        <f>52309200-5202800-2644877.27</f>
        <v>44461522.729999997</v>
      </c>
      <c r="J256" s="240">
        <v>44461522.729999997</v>
      </c>
      <c r="K256" s="140">
        <f t="shared" si="58"/>
        <v>100</v>
      </c>
    </row>
    <row r="257" spans="1:11" ht="25.5">
      <c r="A257" s="7" t="s">
        <v>2008</v>
      </c>
      <c r="B257" s="161" t="s">
        <v>208</v>
      </c>
      <c r="C257" s="161" t="s">
        <v>171</v>
      </c>
      <c r="D257" s="161" t="s">
        <v>223</v>
      </c>
      <c r="E257" s="161" t="s">
        <v>2007</v>
      </c>
      <c r="F257" s="161" t="s">
        <v>127</v>
      </c>
      <c r="G257" s="161" t="s">
        <v>129</v>
      </c>
      <c r="H257" s="160" t="s">
        <v>1245</v>
      </c>
      <c r="I257" s="240">
        <f>I258</f>
        <v>150000</v>
      </c>
      <c r="J257" s="240">
        <f t="shared" ref="J257" si="68">J258</f>
        <v>150000</v>
      </c>
      <c r="K257" s="140">
        <f t="shared" si="58"/>
        <v>100</v>
      </c>
    </row>
    <row r="258" spans="1:11" ht="38.25">
      <c r="A258" s="7" t="s">
        <v>1610</v>
      </c>
      <c r="B258" s="161" t="s">
        <v>208</v>
      </c>
      <c r="C258" s="161" t="s">
        <v>171</v>
      </c>
      <c r="D258" s="161" t="s">
        <v>223</v>
      </c>
      <c r="E258" s="161" t="s">
        <v>2007</v>
      </c>
      <c r="F258" s="161" t="s">
        <v>227</v>
      </c>
      <c r="G258" s="161" t="s">
        <v>129</v>
      </c>
      <c r="H258" s="160" t="s">
        <v>1245</v>
      </c>
      <c r="I258" s="240">
        <v>150000</v>
      </c>
      <c r="J258" s="240">
        <v>150000</v>
      </c>
      <c r="K258" s="140">
        <f t="shared" si="58"/>
        <v>100</v>
      </c>
    </row>
    <row r="259" spans="1:11">
      <c r="A259" s="7" t="s">
        <v>1973</v>
      </c>
      <c r="B259" s="161" t="s">
        <v>208</v>
      </c>
      <c r="C259" s="161" t="s">
        <v>171</v>
      </c>
      <c r="D259" s="161" t="s">
        <v>223</v>
      </c>
      <c r="E259" s="161" t="s">
        <v>1974</v>
      </c>
      <c r="F259" s="161" t="s">
        <v>127</v>
      </c>
      <c r="G259" s="161" t="s">
        <v>129</v>
      </c>
      <c r="H259" s="160" t="s">
        <v>1245</v>
      </c>
      <c r="I259" s="240">
        <f>I260</f>
        <v>95184665.200000003</v>
      </c>
      <c r="J259" s="240">
        <f t="shared" ref="J259" si="69">J260</f>
        <v>90958221.900000006</v>
      </c>
      <c r="K259" s="140">
        <f t="shared" si="58"/>
        <v>95.559743482713856</v>
      </c>
    </row>
    <row r="260" spans="1:11" ht="25.5">
      <c r="A260" s="7" t="s">
        <v>1975</v>
      </c>
      <c r="B260" s="161" t="s">
        <v>208</v>
      </c>
      <c r="C260" s="161" t="s">
        <v>171</v>
      </c>
      <c r="D260" s="161" t="s">
        <v>223</v>
      </c>
      <c r="E260" s="161" t="s">
        <v>1974</v>
      </c>
      <c r="F260" s="161" t="s">
        <v>227</v>
      </c>
      <c r="G260" s="161" t="s">
        <v>129</v>
      </c>
      <c r="H260" s="160" t="s">
        <v>1245</v>
      </c>
      <c r="I260" s="240">
        <f>SUM(I261:I274)</f>
        <v>95184665.200000003</v>
      </c>
      <c r="J260" s="240">
        <f>SUM(J261:J274)</f>
        <v>90958221.900000006</v>
      </c>
      <c r="K260" s="140">
        <f t="shared" si="58"/>
        <v>95.559743482713856</v>
      </c>
    </row>
    <row r="261" spans="1:11" ht="71.25" customHeight="1">
      <c r="A261" s="256" t="s">
        <v>2237</v>
      </c>
      <c r="B261" s="161" t="s">
        <v>208</v>
      </c>
      <c r="C261" s="161" t="s">
        <v>171</v>
      </c>
      <c r="D261" s="161" t="s">
        <v>223</v>
      </c>
      <c r="E261" s="161" t="s">
        <v>1974</v>
      </c>
      <c r="F261" s="161" t="s">
        <v>227</v>
      </c>
      <c r="G261" s="161" t="s">
        <v>2238</v>
      </c>
      <c r="H261" s="160" t="s">
        <v>1245</v>
      </c>
      <c r="I261" s="240">
        <v>533500</v>
      </c>
      <c r="J261" s="240">
        <v>174525.2</v>
      </c>
      <c r="K261" s="140">
        <f t="shared" si="58"/>
        <v>32.713252108716027</v>
      </c>
    </row>
    <row r="262" spans="1:11" ht="51">
      <c r="A262" s="7" t="s">
        <v>2214</v>
      </c>
      <c r="B262" s="161" t="s">
        <v>208</v>
      </c>
      <c r="C262" s="161" t="s">
        <v>171</v>
      </c>
      <c r="D262" s="161" t="s">
        <v>223</v>
      </c>
      <c r="E262" s="161" t="s">
        <v>1974</v>
      </c>
      <c r="F262" s="161" t="s">
        <v>227</v>
      </c>
      <c r="G262" s="161" t="s">
        <v>2213</v>
      </c>
      <c r="H262" s="160" t="s">
        <v>1245</v>
      </c>
      <c r="I262" s="240">
        <v>14428201.199999999</v>
      </c>
      <c r="J262" s="240">
        <v>14428201.199999999</v>
      </c>
      <c r="K262" s="140">
        <f t="shared" si="58"/>
        <v>100</v>
      </c>
    </row>
    <row r="263" spans="1:11" ht="51">
      <c r="A263" s="7" t="s">
        <v>2212</v>
      </c>
      <c r="B263" s="161" t="s">
        <v>208</v>
      </c>
      <c r="C263" s="161" t="s">
        <v>171</v>
      </c>
      <c r="D263" s="161" t="s">
        <v>223</v>
      </c>
      <c r="E263" s="161" t="s">
        <v>1974</v>
      </c>
      <c r="F263" s="161" t="s">
        <v>227</v>
      </c>
      <c r="G263" s="161" t="s">
        <v>2211</v>
      </c>
      <c r="H263" s="160" t="s">
        <v>1245</v>
      </c>
      <c r="I263" s="240">
        <v>28150700</v>
      </c>
      <c r="J263" s="240">
        <v>28150700</v>
      </c>
      <c r="K263" s="140">
        <f t="shared" si="58"/>
        <v>100</v>
      </c>
    </row>
    <row r="264" spans="1:11" ht="38.25">
      <c r="A264" s="7" t="s">
        <v>1976</v>
      </c>
      <c r="B264" s="161" t="s">
        <v>208</v>
      </c>
      <c r="C264" s="161" t="s">
        <v>171</v>
      </c>
      <c r="D264" s="161" t="s">
        <v>223</v>
      </c>
      <c r="E264" s="161" t="s">
        <v>1974</v>
      </c>
      <c r="F264" s="161" t="s">
        <v>227</v>
      </c>
      <c r="G264" s="161" t="s">
        <v>1977</v>
      </c>
      <c r="H264" s="160" t="s">
        <v>1245</v>
      </c>
      <c r="I264" s="240">
        <v>4111000</v>
      </c>
      <c r="J264" s="240">
        <v>4111000</v>
      </c>
      <c r="K264" s="140">
        <f t="shared" si="58"/>
        <v>100</v>
      </c>
    </row>
    <row r="265" spans="1:11" ht="38.25">
      <c r="A265" s="7" t="s">
        <v>1999</v>
      </c>
      <c r="B265" s="161" t="s">
        <v>208</v>
      </c>
      <c r="C265" s="161" t="s">
        <v>171</v>
      </c>
      <c r="D265" s="161" t="s">
        <v>223</v>
      </c>
      <c r="E265" s="161" t="s">
        <v>1974</v>
      </c>
      <c r="F265" s="161" t="s">
        <v>227</v>
      </c>
      <c r="G265" s="161" t="s">
        <v>2000</v>
      </c>
      <c r="H265" s="160" t="s">
        <v>1245</v>
      </c>
      <c r="I265" s="240">
        <f>119800+279400</f>
        <v>399200</v>
      </c>
      <c r="J265" s="240">
        <v>399200</v>
      </c>
      <c r="K265" s="140">
        <f t="shared" ref="K265:K305" si="70">J265/I265*100</f>
        <v>100</v>
      </c>
    </row>
    <row r="266" spans="1:11" ht="51">
      <c r="A266" s="7" t="s">
        <v>2184</v>
      </c>
      <c r="B266" s="161" t="s">
        <v>208</v>
      </c>
      <c r="C266" s="161" t="s">
        <v>171</v>
      </c>
      <c r="D266" s="161" t="s">
        <v>223</v>
      </c>
      <c r="E266" s="161" t="s">
        <v>1974</v>
      </c>
      <c r="F266" s="161" t="s">
        <v>227</v>
      </c>
      <c r="G266" s="161" t="s">
        <v>2183</v>
      </c>
      <c r="H266" s="160" t="s">
        <v>1245</v>
      </c>
      <c r="I266" s="240">
        <f>1800000+2000000</f>
        <v>3800000</v>
      </c>
      <c r="J266" s="240">
        <v>0</v>
      </c>
      <c r="K266" s="140">
        <f t="shared" si="70"/>
        <v>0</v>
      </c>
    </row>
    <row r="267" spans="1:11" ht="38.25">
      <c r="A267" s="7" t="s">
        <v>2030</v>
      </c>
      <c r="B267" s="161" t="s">
        <v>208</v>
      </c>
      <c r="C267" s="161" t="s">
        <v>171</v>
      </c>
      <c r="D267" s="161" t="s">
        <v>223</v>
      </c>
      <c r="E267" s="161" t="s">
        <v>1974</v>
      </c>
      <c r="F267" s="161" t="s">
        <v>227</v>
      </c>
      <c r="G267" s="161" t="s">
        <v>2029</v>
      </c>
      <c r="H267" s="160" t="s">
        <v>1245</v>
      </c>
      <c r="I267" s="240">
        <f>18633300-3633300</f>
        <v>15000000</v>
      </c>
      <c r="J267" s="240">
        <v>15000000</v>
      </c>
      <c r="K267" s="140">
        <f t="shared" si="70"/>
        <v>100</v>
      </c>
    </row>
    <row r="268" spans="1:11" ht="38.25">
      <c r="A268" s="7" t="s">
        <v>2122</v>
      </c>
      <c r="B268" s="161" t="s">
        <v>208</v>
      </c>
      <c r="C268" s="161" t="s">
        <v>171</v>
      </c>
      <c r="D268" s="161" t="s">
        <v>223</v>
      </c>
      <c r="E268" s="161" t="s">
        <v>1974</v>
      </c>
      <c r="F268" s="161" t="s">
        <v>227</v>
      </c>
      <c r="G268" s="161" t="s">
        <v>2121</v>
      </c>
      <c r="H268" s="160" t="s">
        <v>1245</v>
      </c>
      <c r="I268" s="240">
        <v>10206400</v>
      </c>
      <c r="J268" s="240">
        <v>10206400</v>
      </c>
      <c r="K268" s="140">
        <f t="shared" si="70"/>
        <v>100</v>
      </c>
    </row>
    <row r="269" spans="1:11" ht="38.25">
      <c r="A269" s="7" t="s">
        <v>2119</v>
      </c>
      <c r="B269" s="161" t="s">
        <v>208</v>
      </c>
      <c r="C269" s="161" t="s">
        <v>171</v>
      </c>
      <c r="D269" s="161" t="s">
        <v>223</v>
      </c>
      <c r="E269" s="161" t="s">
        <v>1974</v>
      </c>
      <c r="F269" s="161" t="s">
        <v>227</v>
      </c>
      <c r="G269" s="161" t="s">
        <v>2118</v>
      </c>
      <c r="H269" s="160" t="s">
        <v>1245</v>
      </c>
      <c r="I269" s="240">
        <v>60210</v>
      </c>
      <c r="J269" s="240">
        <v>60210</v>
      </c>
      <c r="K269" s="140">
        <f t="shared" si="70"/>
        <v>100</v>
      </c>
    </row>
    <row r="270" spans="1:11" ht="89.25">
      <c r="A270" s="7" t="s">
        <v>2186</v>
      </c>
      <c r="B270" s="161" t="s">
        <v>208</v>
      </c>
      <c r="C270" s="161" t="s">
        <v>171</v>
      </c>
      <c r="D270" s="161" t="s">
        <v>223</v>
      </c>
      <c r="E270" s="161" t="s">
        <v>1974</v>
      </c>
      <c r="F270" s="161" t="s">
        <v>227</v>
      </c>
      <c r="G270" s="161" t="s">
        <v>2185</v>
      </c>
      <c r="H270" s="160" t="s">
        <v>1245</v>
      </c>
      <c r="I270" s="240">
        <f>1170900+360800</f>
        <v>1531700</v>
      </c>
      <c r="J270" s="240">
        <v>1531700</v>
      </c>
      <c r="K270" s="140">
        <f t="shared" si="70"/>
        <v>100</v>
      </c>
    </row>
    <row r="271" spans="1:11" ht="38.25">
      <c r="A271" s="7" t="s">
        <v>2124</v>
      </c>
      <c r="B271" s="161" t="s">
        <v>208</v>
      </c>
      <c r="C271" s="161" t="s">
        <v>171</v>
      </c>
      <c r="D271" s="161" t="s">
        <v>223</v>
      </c>
      <c r="E271" s="161" t="s">
        <v>1974</v>
      </c>
      <c r="F271" s="161" t="s">
        <v>227</v>
      </c>
      <c r="G271" s="161" t="s">
        <v>2123</v>
      </c>
      <c r="H271" s="160" t="s">
        <v>1245</v>
      </c>
      <c r="I271" s="240">
        <v>6568154</v>
      </c>
      <c r="J271" s="240">
        <v>6500685.5</v>
      </c>
      <c r="K271" s="140">
        <f t="shared" si="70"/>
        <v>98.972793573354096</v>
      </c>
    </row>
    <row r="272" spans="1:11" ht="63.75">
      <c r="A272" s="256" t="s">
        <v>2177</v>
      </c>
      <c r="B272" s="161" t="s">
        <v>208</v>
      </c>
      <c r="C272" s="161" t="s">
        <v>171</v>
      </c>
      <c r="D272" s="161" t="s">
        <v>223</v>
      </c>
      <c r="E272" s="161" t="s">
        <v>1974</v>
      </c>
      <c r="F272" s="161" t="s">
        <v>227</v>
      </c>
      <c r="G272" s="161" t="s">
        <v>2176</v>
      </c>
      <c r="H272" s="160" t="s">
        <v>1245</v>
      </c>
      <c r="I272" s="240">
        <v>1294300</v>
      </c>
      <c r="J272" s="240">
        <v>1294300</v>
      </c>
      <c r="K272" s="140">
        <f t="shared" si="70"/>
        <v>100</v>
      </c>
    </row>
    <row r="273" spans="1:11" ht="32.25" customHeight="1">
      <c r="A273" s="7" t="s">
        <v>1604</v>
      </c>
      <c r="B273" s="161" t="s">
        <v>208</v>
      </c>
      <c r="C273" s="161" t="s">
        <v>171</v>
      </c>
      <c r="D273" s="161" t="s">
        <v>223</v>
      </c>
      <c r="E273" s="161" t="s">
        <v>1974</v>
      </c>
      <c r="F273" s="161" t="s">
        <v>227</v>
      </c>
      <c r="G273" s="161" t="s">
        <v>2130</v>
      </c>
      <c r="H273" s="160" t="s">
        <v>1245</v>
      </c>
      <c r="I273" s="240">
        <v>5101300</v>
      </c>
      <c r="J273" s="240">
        <v>5101300</v>
      </c>
      <c r="K273" s="140">
        <f t="shared" si="70"/>
        <v>100</v>
      </c>
    </row>
    <row r="274" spans="1:11" ht="38.25">
      <c r="A274" s="7" t="s">
        <v>2003</v>
      </c>
      <c r="B274" s="161" t="s">
        <v>208</v>
      </c>
      <c r="C274" s="161" t="s">
        <v>171</v>
      </c>
      <c r="D274" s="161" t="s">
        <v>223</v>
      </c>
      <c r="E274" s="161" t="s">
        <v>1974</v>
      </c>
      <c r="F274" s="161" t="s">
        <v>227</v>
      </c>
      <c r="G274" s="161" t="s">
        <v>2004</v>
      </c>
      <c r="H274" s="160" t="s">
        <v>1245</v>
      </c>
      <c r="I274" s="240">
        <v>4000000</v>
      </c>
      <c r="J274" s="240">
        <v>4000000</v>
      </c>
      <c r="K274" s="140">
        <f t="shared" si="70"/>
        <v>100</v>
      </c>
    </row>
    <row r="275" spans="1:11">
      <c r="A275" s="397" t="s">
        <v>1166</v>
      </c>
      <c r="B275" s="397" t="s">
        <v>162</v>
      </c>
      <c r="C275" s="397" t="s">
        <v>171</v>
      </c>
      <c r="D275" s="397" t="s">
        <v>237</v>
      </c>
      <c r="E275" s="397" t="s">
        <v>128</v>
      </c>
      <c r="F275" s="397" t="s">
        <v>127</v>
      </c>
      <c r="G275" s="397" t="s">
        <v>129</v>
      </c>
      <c r="H275" s="398" t="s">
        <v>162</v>
      </c>
      <c r="I275" s="139">
        <f t="shared" ref="I275:J276" si="71">I276</f>
        <v>22275531</v>
      </c>
      <c r="J275" s="139">
        <f t="shared" si="71"/>
        <v>19667360.800000001</v>
      </c>
      <c r="K275" s="140">
        <f t="shared" si="70"/>
        <v>88.291321989136875</v>
      </c>
    </row>
    <row r="276" spans="1:11" ht="25.5">
      <c r="A276" s="397" t="s">
        <v>1167</v>
      </c>
      <c r="B276" s="397" t="s">
        <v>162</v>
      </c>
      <c r="C276" s="397" t="s">
        <v>171</v>
      </c>
      <c r="D276" s="397" t="s">
        <v>237</v>
      </c>
      <c r="E276" s="397" t="s">
        <v>29</v>
      </c>
      <c r="F276" s="397" t="s">
        <v>227</v>
      </c>
      <c r="G276" s="397" t="s">
        <v>129</v>
      </c>
      <c r="H276" s="398" t="s">
        <v>1245</v>
      </c>
      <c r="I276" s="139">
        <f t="shared" si="71"/>
        <v>22275531</v>
      </c>
      <c r="J276" s="139">
        <f t="shared" si="71"/>
        <v>19667360.800000001</v>
      </c>
      <c r="K276" s="140">
        <f t="shared" si="70"/>
        <v>88.291321989136875</v>
      </c>
    </row>
    <row r="277" spans="1:11" ht="25.5">
      <c r="A277" s="397" t="s">
        <v>1168</v>
      </c>
      <c r="B277" s="397" t="s">
        <v>162</v>
      </c>
      <c r="C277" s="397" t="s">
        <v>171</v>
      </c>
      <c r="D277" s="397" t="s">
        <v>237</v>
      </c>
      <c r="E277" s="397" t="s">
        <v>1939</v>
      </c>
      <c r="F277" s="397" t="s">
        <v>227</v>
      </c>
      <c r="G277" s="397" t="s">
        <v>129</v>
      </c>
      <c r="H277" s="398" t="s">
        <v>1245</v>
      </c>
      <c r="I277" s="139">
        <f>I279+I278</f>
        <v>22275531</v>
      </c>
      <c r="J277" s="139">
        <f>J279+J278</f>
        <v>19667360.800000001</v>
      </c>
      <c r="K277" s="140">
        <f t="shared" si="70"/>
        <v>88.291321989136875</v>
      </c>
    </row>
    <row r="278" spans="1:11" ht="25.5">
      <c r="A278" s="397" t="s">
        <v>1168</v>
      </c>
      <c r="B278" s="397" t="s">
        <v>66</v>
      </c>
      <c r="C278" s="397" t="s">
        <v>171</v>
      </c>
      <c r="D278" s="397" t="s">
        <v>237</v>
      </c>
      <c r="E278" s="397" t="s">
        <v>1939</v>
      </c>
      <c r="F278" s="397" t="s">
        <v>227</v>
      </c>
      <c r="G278" s="397" t="s">
        <v>1940</v>
      </c>
      <c r="H278" s="398" t="s">
        <v>1245</v>
      </c>
      <c r="I278" s="139">
        <v>67500</v>
      </c>
      <c r="J278" s="139">
        <v>67500</v>
      </c>
      <c r="K278" s="140">
        <f t="shared" si="70"/>
        <v>100</v>
      </c>
    </row>
    <row r="279" spans="1:11" ht="25.5">
      <c r="A279" s="397" t="s">
        <v>1168</v>
      </c>
      <c r="B279" s="397" t="s">
        <v>207</v>
      </c>
      <c r="C279" s="397" t="s">
        <v>171</v>
      </c>
      <c r="D279" s="397" t="s">
        <v>237</v>
      </c>
      <c r="E279" s="397" t="s">
        <v>1939</v>
      </c>
      <c r="F279" s="397" t="s">
        <v>227</v>
      </c>
      <c r="G279" s="397" t="s">
        <v>1940</v>
      </c>
      <c r="H279" s="398" t="s">
        <v>1245</v>
      </c>
      <c r="I279" s="240">
        <f>2608000+20000+92000+13078031+510000+5000000+900000</f>
        <v>22208031</v>
      </c>
      <c r="J279" s="240">
        <v>19599860.800000001</v>
      </c>
      <c r="K279" s="140">
        <f t="shared" si="70"/>
        <v>88.255734153108847</v>
      </c>
    </row>
    <row r="280" spans="1:11">
      <c r="A280" s="397" t="s">
        <v>2189</v>
      </c>
      <c r="B280" s="397" t="s">
        <v>162</v>
      </c>
      <c r="C280" s="397" t="s">
        <v>171</v>
      </c>
      <c r="D280" s="397" t="s">
        <v>23</v>
      </c>
      <c r="E280" s="397" t="s">
        <v>128</v>
      </c>
      <c r="F280" s="397" t="s">
        <v>127</v>
      </c>
      <c r="G280" s="397" t="s">
        <v>129</v>
      </c>
      <c r="H280" s="398" t="s">
        <v>162</v>
      </c>
      <c r="I280" s="240">
        <f t="shared" ref="I280:J282" si="72">I281</f>
        <v>75000</v>
      </c>
      <c r="J280" s="240">
        <f t="shared" si="72"/>
        <v>75000</v>
      </c>
      <c r="K280" s="140">
        <f t="shared" si="70"/>
        <v>100</v>
      </c>
    </row>
    <row r="281" spans="1:11" ht="25.5">
      <c r="A281" s="397" t="s">
        <v>2190</v>
      </c>
      <c r="B281" s="397" t="s">
        <v>162</v>
      </c>
      <c r="C281" s="397" t="s">
        <v>171</v>
      </c>
      <c r="D281" s="397" t="s">
        <v>23</v>
      </c>
      <c r="E281" s="397" t="s">
        <v>29</v>
      </c>
      <c r="F281" s="397" t="s">
        <v>227</v>
      </c>
      <c r="G281" s="397" t="s">
        <v>129</v>
      </c>
      <c r="H281" s="398" t="s">
        <v>1245</v>
      </c>
      <c r="I281" s="240">
        <f t="shared" si="72"/>
        <v>75000</v>
      </c>
      <c r="J281" s="240">
        <f t="shared" si="72"/>
        <v>75000</v>
      </c>
      <c r="K281" s="140">
        <f t="shared" si="70"/>
        <v>100</v>
      </c>
    </row>
    <row r="282" spans="1:11" ht="38.25">
      <c r="A282" s="397" t="s">
        <v>2191</v>
      </c>
      <c r="B282" s="397" t="s">
        <v>162</v>
      </c>
      <c r="C282" s="397" t="s">
        <v>171</v>
      </c>
      <c r="D282" s="397" t="s">
        <v>23</v>
      </c>
      <c r="E282" s="397" t="s">
        <v>193</v>
      </c>
      <c r="F282" s="397" t="s">
        <v>227</v>
      </c>
      <c r="G282" s="397" t="s">
        <v>129</v>
      </c>
      <c r="H282" s="398" t="s">
        <v>1245</v>
      </c>
      <c r="I282" s="240">
        <f t="shared" si="72"/>
        <v>75000</v>
      </c>
      <c r="J282" s="240">
        <f t="shared" si="72"/>
        <v>75000</v>
      </c>
      <c r="K282" s="140">
        <f t="shared" si="70"/>
        <v>100</v>
      </c>
    </row>
    <row r="283" spans="1:11" ht="63.75">
      <c r="A283" s="322" t="s">
        <v>553</v>
      </c>
      <c r="B283" s="397" t="s">
        <v>207</v>
      </c>
      <c r="C283" s="397" t="s">
        <v>171</v>
      </c>
      <c r="D283" s="397" t="s">
        <v>23</v>
      </c>
      <c r="E283" s="397" t="s">
        <v>193</v>
      </c>
      <c r="F283" s="397" t="s">
        <v>227</v>
      </c>
      <c r="G283" s="397" t="s">
        <v>1940</v>
      </c>
      <c r="H283" s="398" t="s">
        <v>1245</v>
      </c>
      <c r="I283" s="240">
        <v>75000</v>
      </c>
      <c r="J283" s="240">
        <v>75000</v>
      </c>
      <c r="K283" s="140">
        <f t="shared" si="70"/>
        <v>100</v>
      </c>
    </row>
    <row r="284" spans="1:11" ht="25.5">
      <c r="A284" s="7" t="s">
        <v>2009</v>
      </c>
      <c r="B284" s="161" t="s">
        <v>208</v>
      </c>
      <c r="C284" s="402">
        <v>2</v>
      </c>
      <c r="D284" s="402">
        <v>18</v>
      </c>
      <c r="E284" s="161" t="s">
        <v>128</v>
      </c>
      <c r="F284" s="161" t="s">
        <v>127</v>
      </c>
      <c r="G284" s="161" t="s">
        <v>129</v>
      </c>
      <c r="H284" s="160" t="s">
        <v>1245</v>
      </c>
      <c r="I284" s="240">
        <f>I285</f>
        <v>3911686.3200000008</v>
      </c>
      <c r="J284" s="240">
        <f t="shared" ref="J284" si="73">J285</f>
        <v>3911686.3200000003</v>
      </c>
      <c r="K284" s="140">
        <f t="shared" si="70"/>
        <v>99.999999999999986</v>
      </c>
    </row>
    <row r="285" spans="1:11" ht="25.5">
      <c r="A285" s="7" t="s">
        <v>2010</v>
      </c>
      <c r="B285" s="161" t="s">
        <v>162</v>
      </c>
      <c r="C285" s="402">
        <v>2</v>
      </c>
      <c r="D285" s="402">
        <v>18</v>
      </c>
      <c r="E285" s="161" t="s">
        <v>29</v>
      </c>
      <c r="F285" s="161" t="s">
        <v>227</v>
      </c>
      <c r="G285" s="161" t="s">
        <v>129</v>
      </c>
      <c r="H285" s="160" t="s">
        <v>1245</v>
      </c>
      <c r="I285" s="240">
        <f>I286+I289+I293</f>
        <v>3911686.3200000008</v>
      </c>
      <c r="J285" s="240">
        <f>J286+J289+J293</f>
        <v>3911686.3200000003</v>
      </c>
      <c r="K285" s="140">
        <f t="shared" si="70"/>
        <v>99.999999999999986</v>
      </c>
    </row>
    <row r="286" spans="1:11" ht="25.5">
      <c r="A286" s="7" t="s">
        <v>2011</v>
      </c>
      <c r="B286" s="161" t="s">
        <v>162</v>
      </c>
      <c r="C286" s="402">
        <v>2</v>
      </c>
      <c r="D286" s="402">
        <v>18</v>
      </c>
      <c r="E286" s="161" t="s">
        <v>212</v>
      </c>
      <c r="F286" s="161" t="s">
        <v>227</v>
      </c>
      <c r="G286" s="161" t="s">
        <v>129</v>
      </c>
      <c r="H286" s="160" t="s">
        <v>1245</v>
      </c>
      <c r="I286" s="240">
        <f>I287+I288</f>
        <v>112069.97</v>
      </c>
      <c r="J286" s="240">
        <f>J287+J288</f>
        <v>112069.97</v>
      </c>
      <c r="K286" s="140">
        <f t="shared" si="70"/>
        <v>100</v>
      </c>
    </row>
    <row r="287" spans="1:11" ht="25.5">
      <c r="A287" s="7" t="s">
        <v>2011</v>
      </c>
      <c r="B287" s="161" t="s">
        <v>207</v>
      </c>
      <c r="C287" s="402">
        <v>2</v>
      </c>
      <c r="D287" s="402">
        <v>18</v>
      </c>
      <c r="E287" s="161" t="s">
        <v>212</v>
      </c>
      <c r="F287" s="161" t="s">
        <v>227</v>
      </c>
      <c r="G287" s="161" t="s">
        <v>2012</v>
      </c>
      <c r="H287" s="160" t="s">
        <v>1245</v>
      </c>
      <c r="I287" s="240">
        <f>955</f>
        <v>955</v>
      </c>
      <c r="J287" s="240">
        <v>955</v>
      </c>
      <c r="K287" s="140">
        <f t="shared" si="70"/>
        <v>100</v>
      </c>
    </row>
    <row r="288" spans="1:11" ht="25.5">
      <c r="A288" s="7" t="s">
        <v>2011</v>
      </c>
      <c r="B288" s="161" t="s">
        <v>230</v>
      </c>
      <c r="C288" s="402">
        <v>2</v>
      </c>
      <c r="D288" s="402">
        <v>18</v>
      </c>
      <c r="E288" s="161" t="s">
        <v>212</v>
      </c>
      <c r="F288" s="161" t="s">
        <v>227</v>
      </c>
      <c r="G288" s="161" t="s">
        <v>2012</v>
      </c>
      <c r="H288" s="160" t="s">
        <v>1245</v>
      </c>
      <c r="I288" s="240">
        <f>85225+25889.97</f>
        <v>111114.97</v>
      </c>
      <c r="J288" s="240">
        <v>111114.97</v>
      </c>
      <c r="K288" s="140">
        <f t="shared" si="70"/>
        <v>100</v>
      </c>
    </row>
    <row r="289" spans="1:11" ht="25.5">
      <c r="A289" s="51" t="s">
        <v>2013</v>
      </c>
      <c r="B289" s="161" t="s">
        <v>162</v>
      </c>
      <c r="C289" s="402">
        <v>2</v>
      </c>
      <c r="D289" s="402">
        <v>18</v>
      </c>
      <c r="E289" s="161" t="s">
        <v>195</v>
      </c>
      <c r="F289" s="161" t="s">
        <v>227</v>
      </c>
      <c r="G289" s="161" t="s">
        <v>129</v>
      </c>
      <c r="H289" s="403">
        <v>150</v>
      </c>
      <c r="I289" s="240">
        <f>SUM(I290:I292)</f>
        <v>3405982.4400000004</v>
      </c>
      <c r="J289" s="240">
        <f>SUM(J290:J292)</f>
        <v>3405982.44</v>
      </c>
      <c r="K289" s="140">
        <f t="shared" si="70"/>
        <v>99.999999999999986</v>
      </c>
    </row>
    <row r="290" spans="1:11" ht="51">
      <c r="A290" s="51" t="s">
        <v>2016</v>
      </c>
      <c r="B290" s="161" t="s">
        <v>5</v>
      </c>
      <c r="C290" s="402">
        <v>2</v>
      </c>
      <c r="D290" s="402">
        <v>18</v>
      </c>
      <c r="E290" s="161" t="s">
        <v>195</v>
      </c>
      <c r="F290" s="161" t="s">
        <v>227</v>
      </c>
      <c r="G290" s="161" t="s">
        <v>2014</v>
      </c>
      <c r="H290" s="403">
        <v>150</v>
      </c>
      <c r="I290" s="240">
        <f>1343753.82+1478214</f>
        <v>2821967.8200000003</v>
      </c>
      <c r="J290" s="240">
        <v>2821967.82</v>
      </c>
      <c r="K290" s="140">
        <f t="shared" si="70"/>
        <v>99.999999999999986</v>
      </c>
    </row>
    <row r="291" spans="1:11" ht="25.5">
      <c r="A291" s="51" t="s">
        <v>2013</v>
      </c>
      <c r="B291" s="161" t="s">
        <v>5</v>
      </c>
      <c r="C291" s="402">
        <v>2</v>
      </c>
      <c r="D291" s="402">
        <v>18</v>
      </c>
      <c r="E291" s="161" t="s">
        <v>195</v>
      </c>
      <c r="F291" s="161" t="s">
        <v>227</v>
      </c>
      <c r="G291" s="161" t="s">
        <v>2012</v>
      </c>
      <c r="H291" s="403">
        <v>150</v>
      </c>
      <c r="I291" s="240">
        <v>214137.62</v>
      </c>
      <c r="J291" s="240">
        <v>214137.62</v>
      </c>
      <c r="K291" s="140">
        <f t="shared" si="70"/>
        <v>100</v>
      </c>
    </row>
    <row r="292" spans="1:11" ht="51">
      <c r="A292" s="51" t="s">
        <v>2017</v>
      </c>
      <c r="B292" s="161" t="s">
        <v>5</v>
      </c>
      <c r="C292" s="402">
        <v>2</v>
      </c>
      <c r="D292" s="402">
        <v>18</v>
      </c>
      <c r="E292" s="161" t="s">
        <v>195</v>
      </c>
      <c r="F292" s="161" t="s">
        <v>227</v>
      </c>
      <c r="G292" s="161" t="s">
        <v>2015</v>
      </c>
      <c r="H292" s="403">
        <v>150</v>
      </c>
      <c r="I292" s="240">
        <v>369877</v>
      </c>
      <c r="J292" s="240">
        <v>369877</v>
      </c>
      <c r="K292" s="140">
        <f t="shared" si="70"/>
        <v>100</v>
      </c>
    </row>
    <row r="293" spans="1:11" ht="38.25">
      <c r="A293" s="7" t="s">
        <v>2018</v>
      </c>
      <c r="B293" s="161" t="s">
        <v>162</v>
      </c>
      <c r="C293" s="402" t="s">
        <v>171</v>
      </c>
      <c r="D293" s="402" t="s">
        <v>2019</v>
      </c>
      <c r="E293" s="161" t="s">
        <v>128</v>
      </c>
      <c r="F293" s="402" t="s">
        <v>227</v>
      </c>
      <c r="G293" s="402" t="s">
        <v>129</v>
      </c>
      <c r="H293" s="403">
        <v>150</v>
      </c>
      <c r="I293" s="240">
        <f>I294</f>
        <v>393633.91</v>
      </c>
      <c r="J293" s="240">
        <f>J294</f>
        <v>393633.91</v>
      </c>
      <c r="K293" s="140">
        <f t="shared" si="70"/>
        <v>100</v>
      </c>
    </row>
    <row r="294" spans="1:11" ht="38.25">
      <c r="A294" s="7" t="s">
        <v>1120</v>
      </c>
      <c r="B294" s="161" t="s">
        <v>208</v>
      </c>
      <c r="C294" s="402">
        <v>2</v>
      </c>
      <c r="D294" s="402">
        <v>18</v>
      </c>
      <c r="E294" s="161" t="s">
        <v>128</v>
      </c>
      <c r="F294" s="161" t="s">
        <v>227</v>
      </c>
      <c r="G294" s="161" t="s">
        <v>129</v>
      </c>
      <c r="H294" s="403">
        <v>150</v>
      </c>
      <c r="I294" s="240">
        <f>I295+I296</f>
        <v>393633.91</v>
      </c>
      <c r="J294" s="240">
        <f>J295+J296</f>
        <v>393633.91</v>
      </c>
      <c r="K294" s="140">
        <f t="shared" si="70"/>
        <v>100</v>
      </c>
    </row>
    <row r="295" spans="1:11" ht="51">
      <c r="A295" s="7" t="s">
        <v>1221</v>
      </c>
      <c r="B295" s="161" t="s">
        <v>208</v>
      </c>
      <c r="C295" s="402" t="s">
        <v>171</v>
      </c>
      <c r="D295" s="402" t="s">
        <v>2019</v>
      </c>
      <c r="E295" s="402">
        <v>35118</v>
      </c>
      <c r="F295" s="402" t="s">
        <v>227</v>
      </c>
      <c r="G295" s="161" t="s">
        <v>129</v>
      </c>
      <c r="H295" s="403">
        <v>150</v>
      </c>
      <c r="I295" s="240">
        <v>8052.08</v>
      </c>
      <c r="J295" s="240">
        <v>8052.08</v>
      </c>
      <c r="K295" s="140">
        <f t="shared" si="70"/>
        <v>100</v>
      </c>
    </row>
    <row r="296" spans="1:11" ht="38.25">
      <c r="A296" s="7" t="s">
        <v>1120</v>
      </c>
      <c r="B296" s="161" t="s">
        <v>208</v>
      </c>
      <c r="C296" s="402">
        <v>2</v>
      </c>
      <c r="D296" s="402">
        <v>18</v>
      </c>
      <c r="E296" s="402">
        <v>60010</v>
      </c>
      <c r="F296" s="161" t="s">
        <v>227</v>
      </c>
      <c r="G296" s="161" t="s">
        <v>129</v>
      </c>
      <c r="H296" s="403">
        <v>150</v>
      </c>
      <c r="I296" s="240">
        <f>I297+I298</f>
        <v>385581.82999999996</v>
      </c>
      <c r="J296" s="240">
        <f t="shared" ref="J296" si="74">J297+J298</f>
        <v>385581.82999999996</v>
      </c>
      <c r="K296" s="140">
        <f t="shared" si="70"/>
        <v>100</v>
      </c>
    </row>
    <row r="297" spans="1:11" ht="51">
      <c r="A297" s="7" t="s">
        <v>1121</v>
      </c>
      <c r="B297" s="161" t="s">
        <v>208</v>
      </c>
      <c r="C297" s="402">
        <v>2</v>
      </c>
      <c r="D297" s="402">
        <v>18</v>
      </c>
      <c r="E297" s="402">
        <v>60010</v>
      </c>
      <c r="F297" s="161" t="s">
        <v>227</v>
      </c>
      <c r="G297" s="161" t="s">
        <v>1977</v>
      </c>
      <c r="H297" s="403">
        <v>150</v>
      </c>
      <c r="I297" s="240">
        <v>339713.49</v>
      </c>
      <c r="J297" s="240">
        <v>339713.49</v>
      </c>
      <c r="K297" s="140">
        <f t="shared" si="70"/>
        <v>100</v>
      </c>
    </row>
    <row r="298" spans="1:11" ht="63.75">
      <c r="A298" s="7" t="s">
        <v>2021</v>
      </c>
      <c r="B298" s="161" t="s">
        <v>208</v>
      </c>
      <c r="C298" s="402">
        <v>2</v>
      </c>
      <c r="D298" s="402">
        <v>18</v>
      </c>
      <c r="E298" s="402">
        <v>60010</v>
      </c>
      <c r="F298" s="161" t="s">
        <v>227</v>
      </c>
      <c r="G298" s="161" t="s">
        <v>2020</v>
      </c>
      <c r="H298" s="403">
        <v>150</v>
      </c>
      <c r="I298" s="240">
        <v>45868.34</v>
      </c>
      <c r="J298" s="240">
        <v>45868.34</v>
      </c>
      <c r="K298" s="140">
        <f t="shared" si="70"/>
        <v>100</v>
      </c>
    </row>
    <row r="299" spans="1:11" ht="25.5">
      <c r="A299" s="404" t="s">
        <v>2022</v>
      </c>
      <c r="B299" s="161" t="s">
        <v>162</v>
      </c>
      <c r="C299" s="161">
        <v>2</v>
      </c>
      <c r="D299" s="161">
        <v>19</v>
      </c>
      <c r="E299" s="161" t="s">
        <v>128</v>
      </c>
      <c r="F299" s="161" t="s">
        <v>127</v>
      </c>
      <c r="G299" s="161" t="s">
        <v>129</v>
      </c>
      <c r="H299" s="160" t="s">
        <v>162</v>
      </c>
      <c r="I299" s="240">
        <f>I300</f>
        <v>-11303735.100000001</v>
      </c>
      <c r="J299" s="240">
        <f t="shared" ref="J299" si="75">J300</f>
        <v>-11303735.1</v>
      </c>
      <c r="K299" s="140">
        <f t="shared" si="70"/>
        <v>99.999999999999986</v>
      </c>
    </row>
    <row r="300" spans="1:11" ht="38.25">
      <c r="A300" s="7" t="s">
        <v>2023</v>
      </c>
      <c r="B300" s="161" t="s">
        <v>208</v>
      </c>
      <c r="C300" s="161" t="s">
        <v>171</v>
      </c>
      <c r="D300" s="161" t="s">
        <v>2024</v>
      </c>
      <c r="E300" s="161" t="s">
        <v>128</v>
      </c>
      <c r="F300" s="161" t="s">
        <v>227</v>
      </c>
      <c r="G300" s="161" t="s">
        <v>129</v>
      </c>
      <c r="H300" s="160" t="s">
        <v>1245</v>
      </c>
      <c r="I300" s="240">
        <f>I301+I302+I303+I304</f>
        <v>-11303735.100000001</v>
      </c>
      <c r="J300" s="240">
        <f>J301+J302+J303+J304</f>
        <v>-11303735.1</v>
      </c>
      <c r="K300" s="140">
        <f t="shared" si="70"/>
        <v>99.999999999999986</v>
      </c>
    </row>
    <row r="301" spans="1:11" ht="38.25">
      <c r="A301" s="7" t="s">
        <v>2026</v>
      </c>
      <c r="B301" s="161" t="s">
        <v>208</v>
      </c>
      <c r="C301" s="161" t="s">
        <v>171</v>
      </c>
      <c r="D301" s="161" t="s">
        <v>2024</v>
      </c>
      <c r="E301" s="161" t="s">
        <v>2028</v>
      </c>
      <c r="F301" s="161" t="s">
        <v>227</v>
      </c>
      <c r="G301" s="161" t="s">
        <v>129</v>
      </c>
      <c r="H301" s="160" t="s">
        <v>1245</v>
      </c>
      <c r="I301" s="240">
        <v>-20.43</v>
      </c>
      <c r="J301" s="240">
        <v>-20.43</v>
      </c>
      <c r="K301" s="140">
        <f t="shared" si="70"/>
        <v>100</v>
      </c>
    </row>
    <row r="302" spans="1:11" ht="51">
      <c r="A302" s="7" t="s">
        <v>2027</v>
      </c>
      <c r="B302" s="161" t="s">
        <v>208</v>
      </c>
      <c r="C302" s="161" t="s">
        <v>171</v>
      </c>
      <c r="D302" s="161" t="s">
        <v>2024</v>
      </c>
      <c r="E302" s="161" t="s">
        <v>1651</v>
      </c>
      <c r="F302" s="161" t="s">
        <v>227</v>
      </c>
      <c r="G302" s="161" t="s">
        <v>129</v>
      </c>
      <c r="H302" s="160" t="s">
        <v>1245</v>
      </c>
      <c r="I302" s="240">
        <v>-0.05</v>
      </c>
      <c r="J302" s="240">
        <v>-0.05</v>
      </c>
      <c r="K302" s="140">
        <f t="shared" si="70"/>
        <v>100</v>
      </c>
    </row>
    <row r="303" spans="1:11" ht="38.25">
      <c r="A303" s="7" t="s">
        <v>1220</v>
      </c>
      <c r="B303" s="161" t="s">
        <v>208</v>
      </c>
      <c r="C303" s="161" t="s">
        <v>171</v>
      </c>
      <c r="D303" s="161" t="s">
        <v>2024</v>
      </c>
      <c r="E303" s="161" t="s">
        <v>1934</v>
      </c>
      <c r="F303" s="161" t="s">
        <v>227</v>
      </c>
      <c r="G303" s="161" t="s">
        <v>129</v>
      </c>
      <c r="H303" s="160" t="s">
        <v>1245</v>
      </c>
      <c r="I303" s="240">
        <v>-36464.089999999997</v>
      </c>
      <c r="J303" s="240">
        <v>-36464.089999999997</v>
      </c>
      <c r="K303" s="140">
        <f t="shared" si="70"/>
        <v>100</v>
      </c>
    </row>
    <row r="304" spans="1:11" ht="38.25">
      <c r="A304" s="7" t="s">
        <v>1122</v>
      </c>
      <c r="B304" s="161" t="s">
        <v>208</v>
      </c>
      <c r="C304" s="161" t="s">
        <v>171</v>
      </c>
      <c r="D304" s="161" t="s">
        <v>2024</v>
      </c>
      <c r="E304" s="161" t="s">
        <v>2025</v>
      </c>
      <c r="F304" s="161" t="s">
        <v>227</v>
      </c>
      <c r="G304" s="161" t="s">
        <v>129</v>
      </c>
      <c r="H304" s="160" t="s">
        <v>1245</v>
      </c>
      <c r="I304" s="240">
        <f>-272129.09-9491017.47-25889.97-1478214</f>
        <v>-11267250.530000001</v>
      </c>
      <c r="J304" s="240">
        <v>-11267250.529999999</v>
      </c>
      <c r="K304" s="140">
        <f t="shared" si="70"/>
        <v>99.999999999999986</v>
      </c>
    </row>
    <row r="305" spans="1:11">
      <c r="A305" s="397" t="s">
        <v>25</v>
      </c>
      <c r="B305" s="397" t="s">
        <v>162</v>
      </c>
      <c r="C305" s="397" t="s">
        <v>24</v>
      </c>
      <c r="D305" s="397" t="s">
        <v>1941</v>
      </c>
      <c r="E305" s="397" t="s">
        <v>128</v>
      </c>
      <c r="F305" s="397" t="s">
        <v>127</v>
      </c>
      <c r="G305" s="397" t="s">
        <v>129</v>
      </c>
      <c r="H305" s="398" t="s">
        <v>162</v>
      </c>
      <c r="I305" s="240">
        <f>I8+I181</f>
        <v>2993772423.9700003</v>
      </c>
      <c r="J305" s="240">
        <f>J8+J181</f>
        <v>2933347540.3699999</v>
      </c>
      <c r="K305" s="140">
        <f t="shared" si="70"/>
        <v>97.981647398573074</v>
      </c>
    </row>
    <row r="310" spans="1:11">
      <c r="I310" s="110"/>
    </row>
  </sheetData>
  <autoFilter ref="A6:M305">
    <filterColumn colId="6"/>
  </autoFilter>
  <mergeCells count="7">
    <mergeCell ref="K4:K6"/>
    <mergeCell ref="A2:K2"/>
    <mergeCell ref="A1:K1"/>
    <mergeCell ref="I4:I6"/>
    <mergeCell ref="A4:A6"/>
    <mergeCell ref="B4:H5"/>
    <mergeCell ref="J4:J6"/>
  </mergeCells>
  <pageMargins left="0.15748031496062992" right="0.15748031496062992" top="0.19685039370078741" bottom="0.19685039370078741" header="0.15748031496062992" footer="0.19685039370078741"/>
  <pageSetup paperSize="9" scale="67" fitToHeight="0" orientation="portrait" r:id="rId1"/>
  <headerFooter alignWithMargins="0"/>
</worksheet>
</file>

<file path=xl/worksheets/sheet6.xml><?xml version="1.0" encoding="utf-8"?>
<worksheet xmlns="http://schemas.openxmlformats.org/spreadsheetml/2006/main" xmlns:r="http://schemas.openxmlformats.org/officeDocument/2006/relationships">
  <sheetPr codeName="Лист7">
    <tabColor rgb="FF92D050"/>
  </sheetPr>
  <dimension ref="A1:J1860"/>
  <sheetViews>
    <sheetView workbookViewId="0">
      <selection activeCell="K11" sqref="K11"/>
    </sheetView>
  </sheetViews>
  <sheetFormatPr defaultRowHeight="12.75"/>
  <cols>
    <col min="1" max="1" width="51.7109375" style="52" customWidth="1"/>
    <col min="2" max="3" width="7" style="124" customWidth="1"/>
    <col min="4" max="4" width="13.85546875" style="124" customWidth="1"/>
    <col min="5" max="5" width="9.140625" style="125" customWidth="1"/>
    <col min="6" max="6" width="16.7109375" style="280" customWidth="1"/>
    <col min="7" max="7" width="16.85546875" style="280" customWidth="1"/>
    <col min="8" max="8" width="8.85546875" style="280" customWidth="1"/>
    <col min="9" max="9" width="25.85546875" style="3" customWidth="1"/>
    <col min="10" max="10" width="13.5703125" style="3" bestFit="1" customWidth="1"/>
    <col min="11" max="11" width="51.5703125" style="3" customWidth="1"/>
    <col min="12" max="16384" width="9.140625" style="3"/>
  </cols>
  <sheetData>
    <row r="1" spans="1:10" ht="39.75" customHeight="1">
      <c r="A1" s="485" t="str">
        <f>"Приложение "&amp;Н1вед&amp;" к решению
Богучанского районного Совета депутатов
от "&amp;Р1дата&amp;" года №"&amp;Р1номер</f>
        <v>Приложение 3 к решению
Богучанского районного Совета депутатов
от  года №</v>
      </c>
      <c r="B1" s="485"/>
      <c r="C1" s="485"/>
      <c r="D1" s="485"/>
      <c r="E1" s="485"/>
      <c r="F1" s="485"/>
      <c r="G1" s="485"/>
      <c r="H1" s="485"/>
    </row>
    <row r="2" spans="1:10" ht="18">
      <c r="A2" s="512" t="str">
        <f>"Ведомственная структура расходов районного бюджета за "&amp;год&amp;" год"</f>
        <v>Ведомственная структура расходов районного бюджета за 2022 год</v>
      </c>
      <c r="B2" s="512"/>
      <c r="C2" s="512"/>
      <c r="D2" s="512"/>
      <c r="E2" s="512"/>
      <c r="F2" s="512"/>
      <c r="G2" s="512"/>
      <c r="H2" s="512"/>
    </row>
    <row r="3" spans="1:10">
      <c r="G3" s="279"/>
      <c r="H3" s="279" t="s">
        <v>69</v>
      </c>
    </row>
    <row r="4" spans="1:10">
      <c r="A4" s="513" t="s">
        <v>1335</v>
      </c>
      <c r="B4" s="515" t="s">
        <v>177</v>
      </c>
      <c r="C4" s="516"/>
      <c r="D4" s="516"/>
      <c r="E4" s="517"/>
      <c r="F4" s="518" t="s">
        <v>2264</v>
      </c>
      <c r="G4" s="511" t="s">
        <v>2265</v>
      </c>
      <c r="H4" s="511" t="s">
        <v>2263</v>
      </c>
    </row>
    <row r="5" spans="1:10" ht="51">
      <c r="A5" s="514"/>
      <c r="B5" s="250" t="s">
        <v>1332</v>
      </c>
      <c r="C5" s="250" t="s">
        <v>1331</v>
      </c>
      <c r="D5" s="250" t="s">
        <v>1333</v>
      </c>
      <c r="E5" s="250" t="s">
        <v>1334</v>
      </c>
      <c r="F5" s="519"/>
      <c r="G5" s="511"/>
      <c r="H5" s="511"/>
    </row>
    <row r="6" spans="1:10" s="11" customFormat="1">
      <c r="A6" s="241" t="s">
        <v>167</v>
      </c>
      <c r="B6" s="242"/>
      <c r="C6" s="242"/>
      <c r="D6" s="242"/>
      <c r="E6" s="242"/>
      <c r="F6" s="243">
        <v>3078961897.75</v>
      </c>
      <c r="G6" s="243">
        <v>2958886937.8400002</v>
      </c>
      <c r="H6" s="243">
        <f>G6/F6*100</f>
        <v>96.100147910315272</v>
      </c>
      <c r="J6" s="80"/>
    </row>
    <row r="7" spans="1:10">
      <c r="A7" s="241" t="s">
        <v>321</v>
      </c>
      <c r="B7" s="242" t="s">
        <v>178</v>
      </c>
      <c r="C7" s="242"/>
      <c r="D7" s="242"/>
      <c r="E7" s="242"/>
      <c r="F7" s="243">
        <v>6469081.04</v>
      </c>
      <c r="G7" s="243">
        <v>6456047.8399999999</v>
      </c>
      <c r="H7" s="243">
        <f t="shared" ref="H7:H70" si="0">G7/F7*100</f>
        <v>99.798530889945383</v>
      </c>
      <c r="I7" s="123" t="str">
        <f>CONCATENATE(C7,D7,E7)</f>
        <v/>
      </c>
    </row>
    <row r="8" spans="1:10">
      <c r="A8" s="241" t="s">
        <v>234</v>
      </c>
      <c r="B8" s="242" t="s">
        <v>178</v>
      </c>
      <c r="C8" s="242" t="s">
        <v>1135</v>
      </c>
      <c r="D8" s="242"/>
      <c r="E8" s="242"/>
      <c r="F8" s="243">
        <v>6469081.04</v>
      </c>
      <c r="G8" s="243">
        <v>6456047.8399999999</v>
      </c>
      <c r="H8" s="243">
        <f t="shared" si="0"/>
        <v>99.798530889945383</v>
      </c>
      <c r="I8" s="123" t="str">
        <f t="shared" ref="I8:I71" si="1">CONCATENATE(C8,D8,E8)</f>
        <v>0100</v>
      </c>
      <c r="J8" s="123"/>
    </row>
    <row r="9" spans="1:10" ht="38.25">
      <c r="A9" s="241" t="s">
        <v>67</v>
      </c>
      <c r="B9" s="242" t="s">
        <v>178</v>
      </c>
      <c r="C9" s="242" t="s">
        <v>327</v>
      </c>
      <c r="D9" s="242"/>
      <c r="E9" s="242"/>
      <c r="F9" s="243">
        <v>6469081.04</v>
      </c>
      <c r="G9" s="243">
        <v>6456047.8399999999</v>
      </c>
      <c r="H9" s="243">
        <f t="shared" si="0"/>
        <v>99.798530889945383</v>
      </c>
      <c r="I9" s="123" t="str">
        <f t="shared" si="1"/>
        <v>0103</v>
      </c>
    </row>
    <row r="10" spans="1:10" ht="25.5">
      <c r="A10" s="241" t="s">
        <v>599</v>
      </c>
      <c r="B10" s="242" t="s">
        <v>178</v>
      </c>
      <c r="C10" s="242" t="s">
        <v>327</v>
      </c>
      <c r="D10" s="242" t="s">
        <v>1006</v>
      </c>
      <c r="E10" s="242"/>
      <c r="F10" s="243">
        <v>6469081.04</v>
      </c>
      <c r="G10" s="243">
        <v>6456047.8399999999</v>
      </c>
      <c r="H10" s="243">
        <f t="shared" si="0"/>
        <v>99.798530889945383</v>
      </c>
      <c r="I10" s="123" t="str">
        <f t="shared" si="1"/>
        <v>01038000000000</v>
      </c>
    </row>
    <row r="11" spans="1:10" ht="38.25">
      <c r="A11" s="241" t="s">
        <v>600</v>
      </c>
      <c r="B11" s="242" t="s">
        <v>178</v>
      </c>
      <c r="C11" s="242" t="s">
        <v>327</v>
      </c>
      <c r="D11" s="242" t="s">
        <v>1008</v>
      </c>
      <c r="E11" s="242"/>
      <c r="F11" s="243">
        <v>3396687.22</v>
      </c>
      <c r="G11" s="243">
        <v>3389103.42</v>
      </c>
      <c r="H11" s="243">
        <f t="shared" si="0"/>
        <v>99.776729515884</v>
      </c>
      <c r="I11" s="123" t="str">
        <f t="shared" si="1"/>
        <v>01038020000000</v>
      </c>
    </row>
    <row r="12" spans="1:10" ht="63.75">
      <c r="A12" s="241" t="s">
        <v>2033</v>
      </c>
      <c r="B12" s="242" t="s">
        <v>178</v>
      </c>
      <c r="C12" s="242" t="s">
        <v>327</v>
      </c>
      <c r="D12" s="242" t="s">
        <v>2034</v>
      </c>
      <c r="E12" s="242"/>
      <c r="F12" s="243">
        <v>118890</v>
      </c>
      <c r="G12" s="243">
        <v>118890</v>
      </c>
      <c r="H12" s="243">
        <f t="shared" si="0"/>
        <v>100</v>
      </c>
      <c r="I12" s="123" t="str">
        <f t="shared" si="1"/>
        <v>01038020027242</v>
      </c>
    </row>
    <row r="13" spans="1:10" ht="63.75">
      <c r="A13" s="241" t="s">
        <v>1318</v>
      </c>
      <c r="B13" s="242" t="s">
        <v>178</v>
      </c>
      <c r="C13" s="242" t="s">
        <v>327</v>
      </c>
      <c r="D13" s="242" t="s">
        <v>2034</v>
      </c>
      <c r="E13" s="242" t="s">
        <v>273</v>
      </c>
      <c r="F13" s="243">
        <v>118890</v>
      </c>
      <c r="G13" s="243">
        <v>118890</v>
      </c>
      <c r="H13" s="243">
        <f t="shared" si="0"/>
        <v>100</v>
      </c>
      <c r="I13" s="123" t="str">
        <f t="shared" si="1"/>
        <v>01038020027242100</v>
      </c>
    </row>
    <row r="14" spans="1:10" ht="25.5">
      <c r="A14" s="241" t="s">
        <v>1203</v>
      </c>
      <c r="B14" s="242" t="s">
        <v>178</v>
      </c>
      <c r="C14" s="242" t="s">
        <v>327</v>
      </c>
      <c r="D14" s="242" t="s">
        <v>2034</v>
      </c>
      <c r="E14" s="242" t="s">
        <v>28</v>
      </c>
      <c r="F14" s="243">
        <v>118890</v>
      </c>
      <c r="G14" s="243">
        <v>118890</v>
      </c>
      <c r="H14" s="243">
        <f t="shared" si="0"/>
        <v>100</v>
      </c>
      <c r="I14" s="123" t="str">
        <f t="shared" si="1"/>
        <v>01038020027242120</v>
      </c>
    </row>
    <row r="15" spans="1:10" ht="25.5">
      <c r="A15" s="241" t="s">
        <v>953</v>
      </c>
      <c r="B15" s="242" t="s">
        <v>178</v>
      </c>
      <c r="C15" s="242" t="s">
        <v>327</v>
      </c>
      <c r="D15" s="242" t="s">
        <v>2034</v>
      </c>
      <c r="E15" s="242" t="s">
        <v>324</v>
      </c>
      <c r="F15" s="243">
        <v>91310</v>
      </c>
      <c r="G15" s="243">
        <v>91310</v>
      </c>
      <c r="H15" s="243">
        <f t="shared" si="0"/>
        <v>100</v>
      </c>
      <c r="I15" s="123" t="str">
        <f t="shared" si="1"/>
        <v>01038020027242121</v>
      </c>
    </row>
    <row r="16" spans="1:10" ht="38.25">
      <c r="A16" s="241" t="s">
        <v>1054</v>
      </c>
      <c r="B16" s="242" t="s">
        <v>178</v>
      </c>
      <c r="C16" s="242" t="s">
        <v>327</v>
      </c>
      <c r="D16" s="242" t="s">
        <v>2034</v>
      </c>
      <c r="E16" s="242" t="s">
        <v>1055</v>
      </c>
      <c r="F16" s="243">
        <v>27580</v>
      </c>
      <c r="G16" s="243">
        <v>27580</v>
      </c>
      <c r="H16" s="243">
        <f t="shared" si="0"/>
        <v>100</v>
      </c>
      <c r="I16" s="123" t="str">
        <f t="shared" si="1"/>
        <v>01038020027242129</v>
      </c>
    </row>
    <row r="17" spans="1:9" ht="38.25">
      <c r="A17" s="241" t="s">
        <v>328</v>
      </c>
      <c r="B17" s="242" t="s">
        <v>178</v>
      </c>
      <c r="C17" s="242" t="s">
        <v>327</v>
      </c>
      <c r="D17" s="242" t="s">
        <v>638</v>
      </c>
      <c r="E17" s="242"/>
      <c r="F17" s="243">
        <v>3277797.22</v>
      </c>
      <c r="G17" s="243">
        <v>3270213.42</v>
      </c>
      <c r="H17" s="243">
        <f t="shared" si="0"/>
        <v>99.768631202878368</v>
      </c>
      <c r="I17" s="123" t="str">
        <f t="shared" si="1"/>
        <v>01038020060000</v>
      </c>
    </row>
    <row r="18" spans="1:9" ht="63.75">
      <c r="A18" s="241" t="s">
        <v>1318</v>
      </c>
      <c r="B18" s="242" t="s">
        <v>178</v>
      </c>
      <c r="C18" s="242" t="s">
        <v>327</v>
      </c>
      <c r="D18" s="242" t="s">
        <v>638</v>
      </c>
      <c r="E18" s="242" t="s">
        <v>273</v>
      </c>
      <c r="F18" s="243">
        <v>2801875.7</v>
      </c>
      <c r="G18" s="243">
        <v>2796912.7</v>
      </c>
      <c r="H18" s="243">
        <f t="shared" si="0"/>
        <v>99.822868659020102</v>
      </c>
      <c r="I18" s="123" t="str">
        <f t="shared" si="1"/>
        <v>01038020060000100</v>
      </c>
    </row>
    <row r="19" spans="1:9" ht="25.5">
      <c r="A19" s="241" t="s">
        <v>1203</v>
      </c>
      <c r="B19" s="242" t="s">
        <v>178</v>
      </c>
      <c r="C19" s="242" t="s">
        <v>327</v>
      </c>
      <c r="D19" s="242" t="s">
        <v>638</v>
      </c>
      <c r="E19" s="242" t="s">
        <v>28</v>
      </c>
      <c r="F19" s="243">
        <v>2801875.7</v>
      </c>
      <c r="G19" s="243">
        <v>2796912.7</v>
      </c>
      <c r="H19" s="243">
        <f t="shared" si="0"/>
        <v>99.822868659020102</v>
      </c>
      <c r="I19" s="123" t="str">
        <f t="shared" si="1"/>
        <v>01038020060000120</v>
      </c>
    </row>
    <row r="20" spans="1:9" ht="25.5">
      <c r="A20" s="241" t="s">
        <v>953</v>
      </c>
      <c r="B20" s="242" t="s">
        <v>178</v>
      </c>
      <c r="C20" s="242" t="s">
        <v>327</v>
      </c>
      <c r="D20" s="242" t="s">
        <v>638</v>
      </c>
      <c r="E20" s="242" t="s">
        <v>324</v>
      </c>
      <c r="F20" s="243">
        <v>2122637</v>
      </c>
      <c r="G20" s="243">
        <v>2122615.6800000002</v>
      </c>
      <c r="H20" s="243">
        <f t="shared" si="0"/>
        <v>99.998995588977309</v>
      </c>
      <c r="I20" s="123" t="str">
        <f t="shared" si="1"/>
        <v>01038020060000121</v>
      </c>
    </row>
    <row r="21" spans="1:9" ht="38.25">
      <c r="A21" s="241" t="s">
        <v>325</v>
      </c>
      <c r="B21" s="242" t="s">
        <v>178</v>
      </c>
      <c r="C21" s="242" t="s">
        <v>327</v>
      </c>
      <c r="D21" s="242" t="s">
        <v>638</v>
      </c>
      <c r="E21" s="242" t="s">
        <v>326</v>
      </c>
      <c r="F21" s="243">
        <v>38202.699999999997</v>
      </c>
      <c r="G21" s="243">
        <v>38202.699999999997</v>
      </c>
      <c r="H21" s="243">
        <f t="shared" si="0"/>
        <v>100</v>
      </c>
      <c r="I21" s="123" t="str">
        <f t="shared" si="1"/>
        <v>01038020060000122</v>
      </c>
    </row>
    <row r="22" spans="1:9" ht="38.25">
      <c r="A22" s="241" t="s">
        <v>1054</v>
      </c>
      <c r="B22" s="242" t="s">
        <v>178</v>
      </c>
      <c r="C22" s="242" t="s">
        <v>327</v>
      </c>
      <c r="D22" s="242" t="s">
        <v>638</v>
      </c>
      <c r="E22" s="242" t="s">
        <v>1055</v>
      </c>
      <c r="F22" s="243">
        <v>641036</v>
      </c>
      <c r="G22" s="243">
        <v>636094.31999999995</v>
      </c>
      <c r="H22" s="243">
        <f t="shared" si="0"/>
        <v>99.229110377576291</v>
      </c>
      <c r="I22" s="123" t="str">
        <f t="shared" si="1"/>
        <v>01038020060000129</v>
      </c>
    </row>
    <row r="23" spans="1:9" ht="25.5">
      <c r="A23" s="241" t="s">
        <v>1319</v>
      </c>
      <c r="B23" s="242" t="s">
        <v>178</v>
      </c>
      <c r="C23" s="242" t="s">
        <v>327</v>
      </c>
      <c r="D23" s="242" t="s">
        <v>638</v>
      </c>
      <c r="E23" s="242" t="s">
        <v>1320</v>
      </c>
      <c r="F23" s="243">
        <v>475921.52</v>
      </c>
      <c r="G23" s="243">
        <v>473300.72</v>
      </c>
      <c r="H23" s="243">
        <f t="shared" si="0"/>
        <v>99.44932097207959</v>
      </c>
      <c r="I23" s="123" t="str">
        <f t="shared" si="1"/>
        <v>01038020060000200</v>
      </c>
    </row>
    <row r="24" spans="1:9" ht="25.5">
      <c r="A24" s="241" t="s">
        <v>1196</v>
      </c>
      <c r="B24" s="242" t="s">
        <v>178</v>
      </c>
      <c r="C24" s="242" t="s">
        <v>327</v>
      </c>
      <c r="D24" s="242" t="s">
        <v>638</v>
      </c>
      <c r="E24" s="242" t="s">
        <v>1197</v>
      </c>
      <c r="F24" s="243">
        <v>475921.52</v>
      </c>
      <c r="G24" s="243">
        <v>473300.72</v>
      </c>
      <c r="H24" s="243">
        <f t="shared" si="0"/>
        <v>99.44932097207959</v>
      </c>
      <c r="I24" s="123" t="str">
        <f t="shared" si="1"/>
        <v>01038020060000240</v>
      </c>
    </row>
    <row r="25" spans="1:9">
      <c r="A25" s="241" t="s">
        <v>1223</v>
      </c>
      <c r="B25" s="242" t="s">
        <v>178</v>
      </c>
      <c r="C25" s="242" t="s">
        <v>327</v>
      </c>
      <c r="D25" s="242" t="s">
        <v>638</v>
      </c>
      <c r="E25" s="242" t="s">
        <v>329</v>
      </c>
      <c r="F25" s="243">
        <v>475921.52</v>
      </c>
      <c r="G25" s="243">
        <v>473300.72</v>
      </c>
      <c r="H25" s="243">
        <f t="shared" si="0"/>
        <v>99.44932097207959</v>
      </c>
      <c r="I25" s="123" t="str">
        <f t="shared" si="1"/>
        <v>01038020060000244</v>
      </c>
    </row>
    <row r="26" spans="1:9" ht="51">
      <c r="A26" s="241" t="s">
        <v>330</v>
      </c>
      <c r="B26" s="242" t="s">
        <v>178</v>
      </c>
      <c r="C26" s="242" t="s">
        <v>327</v>
      </c>
      <c r="D26" s="242" t="s">
        <v>1009</v>
      </c>
      <c r="E26" s="242"/>
      <c r="F26" s="243">
        <v>3072393.82</v>
      </c>
      <c r="G26" s="243">
        <v>3066944.42</v>
      </c>
      <c r="H26" s="243">
        <f t="shared" si="0"/>
        <v>99.822633414879093</v>
      </c>
      <c r="I26" s="123" t="str">
        <f t="shared" si="1"/>
        <v>01038030000000</v>
      </c>
    </row>
    <row r="27" spans="1:9" ht="63.75">
      <c r="A27" s="241" t="s">
        <v>2033</v>
      </c>
      <c r="B27" s="242" t="s">
        <v>178</v>
      </c>
      <c r="C27" s="242" t="s">
        <v>327</v>
      </c>
      <c r="D27" s="242" t="s">
        <v>2194</v>
      </c>
      <c r="E27" s="242"/>
      <c r="F27" s="243">
        <v>67390</v>
      </c>
      <c r="G27" s="243">
        <v>67390</v>
      </c>
      <c r="H27" s="243">
        <f t="shared" si="0"/>
        <v>100</v>
      </c>
      <c r="I27" s="123" t="str">
        <f t="shared" si="1"/>
        <v>01038030027242</v>
      </c>
    </row>
    <row r="28" spans="1:9" ht="63.75">
      <c r="A28" s="241" t="s">
        <v>1318</v>
      </c>
      <c r="B28" s="242" t="s">
        <v>178</v>
      </c>
      <c r="C28" s="242" t="s">
        <v>327</v>
      </c>
      <c r="D28" s="242" t="s">
        <v>2194</v>
      </c>
      <c r="E28" s="242" t="s">
        <v>273</v>
      </c>
      <c r="F28" s="243">
        <v>67390</v>
      </c>
      <c r="G28" s="243">
        <v>67390</v>
      </c>
      <c r="H28" s="243">
        <f t="shared" si="0"/>
        <v>100</v>
      </c>
      <c r="I28" s="123" t="str">
        <f t="shared" si="1"/>
        <v>01038030027242100</v>
      </c>
    </row>
    <row r="29" spans="1:9" ht="25.5">
      <c r="A29" s="241" t="s">
        <v>1203</v>
      </c>
      <c r="B29" s="242" t="s">
        <v>178</v>
      </c>
      <c r="C29" s="242" t="s">
        <v>327</v>
      </c>
      <c r="D29" s="242" t="s">
        <v>2194</v>
      </c>
      <c r="E29" s="242" t="s">
        <v>28</v>
      </c>
      <c r="F29" s="243">
        <v>67390</v>
      </c>
      <c r="G29" s="243">
        <v>67390</v>
      </c>
      <c r="H29" s="243">
        <f t="shared" si="0"/>
        <v>100</v>
      </c>
      <c r="I29" s="123" t="str">
        <f t="shared" si="1"/>
        <v>01038030027242120</v>
      </c>
    </row>
    <row r="30" spans="1:9" ht="25.5">
      <c r="A30" s="241" t="s">
        <v>953</v>
      </c>
      <c r="B30" s="242" t="s">
        <v>178</v>
      </c>
      <c r="C30" s="242" t="s">
        <v>327</v>
      </c>
      <c r="D30" s="242" t="s">
        <v>2194</v>
      </c>
      <c r="E30" s="242" t="s">
        <v>324</v>
      </c>
      <c r="F30" s="243">
        <v>51760</v>
      </c>
      <c r="G30" s="243">
        <v>51760</v>
      </c>
      <c r="H30" s="243">
        <f t="shared" si="0"/>
        <v>100</v>
      </c>
      <c r="I30" s="123" t="str">
        <f t="shared" si="1"/>
        <v>01038030027242121</v>
      </c>
    </row>
    <row r="31" spans="1:9" ht="38.25">
      <c r="A31" s="241" t="s">
        <v>1054</v>
      </c>
      <c r="B31" s="242" t="s">
        <v>178</v>
      </c>
      <c r="C31" s="242" t="s">
        <v>327</v>
      </c>
      <c r="D31" s="242" t="s">
        <v>2194</v>
      </c>
      <c r="E31" s="242" t="s">
        <v>1055</v>
      </c>
      <c r="F31" s="243">
        <v>15630</v>
      </c>
      <c r="G31" s="243">
        <v>15630</v>
      </c>
      <c r="H31" s="243">
        <f t="shared" si="0"/>
        <v>100</v>
      </c>
      <c r="I31" s="123" t="str">
        <f t="shared" si="1"/>
        <v>01038030027242129</v>
      </c>
    </row>
    <row r="32" spans="1:9" ht="51">
      <c r="A32" s="241" t="s">
        <v>330</v>
      </c>
      <c r="B32" s="242" t="s">
        <v>178</v>
      </c>
      <c r="C32" s="242" t="s">
        <v>327</v>
      </c>
      <c r="D32" s="242" t="s">
        <v>640</v>
      </c>
      <c r="E32" s="242"/>
      <c r="F32" s="243">
        <v>3005003.82</v>
      </c>
      <c r="G32" s="243">
        <v>2999554.42</v>
      </c>
      <c r="H32" s="243">
        <f t="shared" si="0"/>
        <v>99.818655804570668</v>
      </c>
      <c r="I32" s="123" t="str">
        <f t="shared" si="1"/>
        <v>01038030060000</v>
      </c>
    </row>
    <row r="33" spans="1:9" ht="63.75">
      <c r="A33" s="241" t="s">
        <v>1318</v>
      </c>
      <c r="B33" s="242" t="s">
        <v>178</v>
      </c>
      <c r="C33" s="242" t="s">
        <v>327</v>
      </c>
      <c r="D33" s="242" t="s">
        <v>640</v>
      </c>
      <c r="E33" s="242" t="s">
        <v>273</v>
      </c>
      <c r="F33" s="243">
        <v>3005003.82</v>
      </c>
      <c r="G33" s="243">
        <v>2999554.42</v>
      </c>
      <c r="H33" s="243">
        <f t="shared" si="0"/>
        <v>99.818655804570668</v>
      </c>
      <c r="I33" s="123" t="str">
        <f t="shared" si="1"/>
        <v>01038030060000100</v>
      </c>
    </row>
    <row r="34" spans="1:9" ht="25.5">
      <c r="A34" s="241" t="s">
        <v>1203</v>
      </c>
      <c r="B34" s="242" t="s">
        <v>178</v>
      </c>
      <c r="C34" s="242" t="s">
        <v>327</v>
      </c>
      <c r="D34" s="242" t="s">
        <v>640</v>
      </c>
      <c r="E34" s="242" t="s">
        <v>28</v>
      </c>
      <c r="F34" s="243">
        <v>3005003.82</v>
      </c>
      <c r="G34" s="243">
        <v>2999554.42</v>
      </c>
      <c r="H34" s="243">
        <f t="shared" si="0"/>
        <v>99.818655804570668</v>
      </c>
      <c r="I34" s="123" t="str">
        <f t="shared" si="1"/>
        <v>01038030060000120</v>
      </c>
    </row>
    <row r="35" spans="1:9" ht="25.5">
      <c r="A35" s="241" t="s">
        <v>953</v>
      </c>
      <c r="B35" s="242" t="s">
        <v>178</v>
      </c>
      <c r="C35" s="242" t="s">
        <v>327</v>
      </c>
      <c r="D35" s="242" t="s">
        <v>640</v>
      </c>
      <c r="E35" s="242" t="s">
        <v>324</v>
      </c>
      <c r="F35" s="243">
        <v>2069372.25</v>
      </c>
      <c r="G35" s="243">
        <v>2069372.25</v>
      </c>
      <c r="H35" s="243">
        <f t="shared" si="0"/>
        <v>100</v>
      </c>
      <c r="I35" s="123" t="str">
        <f t="shared" si="1"/>
        <v>01038030060000121</v>
      </c>
    </row>
    <row r="36" spans="1:9" ht="38.25">
      <c r="A36" s="241" t="s">
        <v>325</v>
      </c>
      <c r="B36" s="242" t="s">
        <v>178</v>
      </c>
      <c r="C36" s="242" t="s">
        <v>327</v>
      </c>
      <c r="D36" s="242" t="s">
        <v>640</v>
      </c>
      <c r="E36" s="242" t="s">
        <v>326</v>
      </c>
      <c r="F36" s="243">
        <v>56200</v>
      </c>
      <c r="G36" s="243">
        <v>50750.6</v>
      </c>
      <c r="H36" s="243">
        <f t="shared" si="0"/>
        <v>90.303558718861211</v>
      </c>
      <c r="I36" s="123" t="str">
        <f t="shared" si="1"/>
        <v>01038030060000122</v>
      </c>
    </row>
    <row r="37" spans="1:9" ht="25.5">
      <c r="A37" s="241" t="s">
        <v>1942</v>
      </c>
      <c r="B37" s="242" t="s">
        <v>178</v>
      </c>
      <c r="C37" s="242" t="s">
        <v>327</v>
      </c>
      <c r="D37" s="242" t="s">
        <v>640</v>
      </c>
      <c r="E37" s="242" t="s">
        <v>496</v>
      </c>
      <c r="F37" s="243">
        <v>264000</v>
      </c>
      <c r="G37" s="243">
        <v>264000</v>
      </c>
      <c r="H37" s="243">
        <f t="shared" si="0"/>
        <v>100</v>
      </c>
      <c r="I37" s="123" t="str">
        <f t="shared" si="1"/>
        <v>01038030060000123</v>
      </c>
    </row>
    <row r="38" spans="1:9" ht="38.25">
      <c r="A38" s="241" t="s">
        <v>1054</v>
      </c>
      <c r="B38" s="242" t="s">
        <v>178</v>
      </c>
      <c r="C38" s="242" t="s">
        <v>327</v>
      </c>
      <c r="D38" s="242" t="s">
        <v>640</v>
      </c>
      <c r="E38" s="242" t="s">
        <v>1055</v>
      </c>
      <c r="F38" s="243">
        <v>615431.56999999995</v>
      </c>
      <c r="G38" s="243">
        <v>615431.56999999995</v>
      </c>
      <c r="H38" s="243">
        <f t="shared" si="0"/>
        <v>100</v>
      </c>
      <c r="I38" s="123" t="str">
        <f t="shared" si="1"/>
        <v>01038030060000129</v>
      </c>
    </row>
    <row r="39" spans="1:9">
      <c r="A39" s="241" t="s">
        <v>180</v>
      </c>
      <c r="B39" s="242" t="s">
        <v>179</v>
      </c>
      <c r="C39" s="242"/>
      <c r="D39" s="242"/>
      <c r="E39" s="242"/>
      <c r="F39" s="243">
        <v>2545762</v>
      </c>
      <c r="G39" s="243">
        <v>2535187.4500000002</v>
      </c>
      <c r="H39" s="243">
        <f t="shared" si="0"/>
        <v>99.584621421798275</v>
      </c>
      <c r="I39" s="123" t="str">
        <f t="shared" si="1"/>
        <v/>
      </c>
    </row>
    <row r="40" spans="1:9">
      <c r="A40" s="241" t="s">
        <v>234</v>
      </c>
      <c r="B40" s="242" t="s">
        <v>179</v>
      </c>
      <c r="C40" s="242" t="s">
        <v>1135</v>
      </c>
      <c r="D40" s="242"/>
      <c r="E40" s="242"/>
      <c r="F40" s="243">
        <v>2545762</v>
      </c>
      <c r="G40" s="243">
        <v>2535187.4500000002</v>
      </c>
      <c r="H40" s="243">
        <f t="shared" si="0"/>
        <v>99.584621421798275</v>
      </c>
      <c r="I40" s="123" t="str">
        <f t="shared" si="1"/>
        <v>0100</v>
      </c>
    </row>
    <row r="41" spans="1:9" ht="38.25">
      <c r="A41" s="241" t="s">
        <v>216</v>
      </c>
      <c r="B41" s="242" t="s">
        <v>179</v>
      </c>
      <c r="C41" s="242" t="s">
        <v>331</v>
      </c>
      <c r="D41" s="242"/>
      <c r="E41" s="242"/>
      <c r="F41" s="243">
        <v>2545762</v>
      </c>
      <c r="G41" s="243">
        <v>2535187.4500000002</v>
      </c>
      <c r="H41" s="243">
        <f t="shared" si="0"/>
        <v>99.584621421798275</v>
      </c>
      <c r="I41" s="123" t="str">
        <f t="shared" si="1"/>
        <v>0106</v>
      </c>
    </row>
    <row r="42" spans="1:9" ht="25.5">
      <c r="A42" s="241" t="s">
        <v>599</v>
      </c>
      <c r="B42" s="242" t="s">
        <v>179</v>
      </c>
      <c r="C42" s="242" t="s">
        <v>331</v>
      </c>
      <c r="D42" s="242" t="s">
        <v>1006</v>
      </c>
      <c r="E42" s="242"/>
      <c r="F42" s="243">
        <v>2545762</v>
      </c>
      <c r="G42" s="243">
        <v>2535187.4500000002</v>
      </c>
      <c r="H42" s="243">
        <f t="shared" si="0"/>
        <v>99.584621421798275</v>
      </c>
      <c r="I42" s="123" t="str">
        <f t="shared" si="1"/>
        <v>01068000000000</v>
      </c>
    </row>
    <row r="43" spans="1:9" ht="38.25">
      <c r="A43" s="241" t="s">
        <v>600</v>
      </c>
      <c r="B43" s="242" t="s">
        <v>179</v>
      </c>
      <c r="C43" s="242" t="s">
        <v>331</v>
      </c>
      <c r="D43" s="242" t="s">
        <v>1008</v>
      </c>
      <c r="E43" s="242"/>
      <c r="F43" s="243">
        <v>1132006</v>
      </c>
      <c r="G43" s="243">
        <v>1124051.52</v>
      </c>
      <c r="H43" s="243">
        <f t="shared" si="0"/>
        <v>99.297311144993941</v>
      </c>
      <c r="I43" s="123" t="str">
        <f t="shared" si="1"/>
        <v>01068020000000</v>
      </c>
    </row>
    <row r="44" spans="1:9" ht="63.75">
      <c r="A44" s="241" t="s">
        <v>2033</v>
      </c>
      <c r="B44" s="242" t="s">
        <v>179</v>
      </c>
      <c r="C44" s="242" t="s">
        <v>331</v>
      </c>
      <c r="D44" s="242" t="s">
        <v>2034</v>
      </c>
      <c r="E44" s="242"/>
      <c r="F44" s="243">
        <v>39630</v>
      </c>
      <c r="G44" s="243">
        <v>39630</v>
      </c>
      <c r="H44" s="243">
        <f t="shared" si="0"/>
        <v>100</v>
      </c>
      <c r="I44" s="123" t="str">
        <f t="shared" si="1"/>
        <v>01068020027242</v>
      </c>
    </row>
    <row r="45" spans="1:9" ht="63.75">
      <c r="A45" s="241" t="s">
        <v>1318</v>
      </c>
      <c r="B45" s="242" t="s">
        <v>179</v>
      </c>
      <c r="C45" s="242" t="s">
        <v>331</v>
      </c>
      <c r="D45" s="242" t="s">
        <v>2034</v>
      </c>
      <c r="E45" s="242" t="s">
        <v>273</v>
      </c>
      <c r="F45" s="243">
        <v>39630</v>
      </c>
      <c r="G45" s="243">
        <v>39630</v>
      </c>
      <c r="H45" s="243">
        <f t="shared" si="0"/>
        <v>100</v>
      </c>
      <c r="I45" s="123" t="str">
        <f t="shared" si="1"/>
        <v>01068020027242100</v>
      </c>
    </row>
    <row r="46" spans="1:9" ht="25.5">
      <c r="A46" s="241" t="s">
        <v>1203</v>
      </c>
      <c r="B46" s="242" t="s">
        <v>179</v>
      </c>
      <c r="C46" s="242" t="s">
        <v>331</v>
      </c>
      <c r="D46" s="242" t="s">
        <v>2034</v>
      </c>
      <c r="E46" s="242" t="s">
        <v>28</v>
      </c>
      <c r="F46" s="243">
        <v>39630</v>
      </c>
      <c r="G46" s="243">
        <v>39630</v>
      </c>
      <c r="H46" s="243">
        <f t="shared" si="0"/>
        <v>100</v>
      </c>
      <c r="I46" s="123" t="str">
        <f t="shared" si="1"/>
        <v>01068020027242120</v>
      </c>
    </row>
    <row r="47" spans="1:9" ht="25.5">
      <c r="A47" s="241" t="s">
        <v>953</v>
      </c>
      <c r="B47" s="242" t="s">
        <v>179</v>
      </c>
      <c r="C47" s="242" t="s">
        <v>331</v>
      </c>
      <c r="D47" s="242" t="s">
        <v>2034</v>
      </c>
      <c r="E47" s="242" t="s">
        <v>324</v>
      </c>
      <c r="F47" s="243">
        <v>30438</v>
      </c>
      <c r="G47" s="243">
        <v>30438</v>
      </c>
      <c r="H47" s="243">
        <f t="shared" si="0"/>
        <v>100</v>
      </c>
      <c r="I47" s="123" t="str">
        <f t="shared" si="1"/>
        <v>01068020027242121</v>
      </c>
    </row>
    <row r="48" spans="1:9" ht="38.25">
      <c r="A48" s="241" t="s">
        <v>1054</v>
      </c>
      <c r="B48" s="242" t="s">
        <v>179</v>
      </c>
      <c r="C48" s="242" t="s">
        <v>331</v>
      </c>
      <c r="D48" s="242" t="s">
        <v>2034</v>
      </c>
      <c r="E48" s="242" t="s">
        <v>1055</v>
      </c>
      <c r="F48" s="243">
        <v>9192</v>
      </c>
      <c r="G48" s="243">
        <v>9192</v>
      </c>
      <c r="H48" s="243">
        <f t="shared" si="0"/>
        <v>100</v>
      </c>
      <c r="I48" s="123" t="str">
        <f t="shared" si="1"/>
        <v>01068020027242129</v>
      </c>
    </row>
    <row r="49" spans="1:9" ht="38.25">
      <c r="A49" s="241" t="s">
        <v>328</v>
      </c>
      <c r="B49" s="242" t="s">
        <v>179</v>
      </c>
      <c r="C49" s="242" t="s">
        <v>331</v>
      </c>
      <c r="D49" s="242" t="s">
        <v>638</v>
      </c>
      <c r="E49" s="242"/>
      <c r="F49" s="243">
        <v>987349.2</v>
      </c>
      <c r="G49" s="243">
        <v>983421.52</v>
      </c>
      <c r="H49" s="243">
        <f t="shared" si="0"/>
        <v>99.602199505504245</v>
      </c>
      <c r="I49" s="123" t="str">
        <f t="shared" si="1"/>
        <v>01068020060000</v>
      </c>
    </row>
    <row r="50" spans="1:9" ht="63.75">
      <c r="A50" s="241" t="s">
        <v>1318</v>
      </c>
      <c r="B50" s="242" t="s">
        <v>179</v>
      </c>
      <c r="C50" s="242" t="s">
        <v>331</v>
      </c>
      <c r="D50" s="242" t="s">
        <v>638</v>
      </c>
      <c r="E50" s="242" t="s">
        <v>273</v>
      </c>
      <c r="F50" s="243">
        <v>928574</v>
      </c>
      <c r="G50" s="243">
        <v>927624</v>
      </c>
      <c r="H50" s="243">
        <f t="shared" si="0"/>
        <v>99.897692591005125</v>
      </c>
      <c r="I50" s="123" t="str">
        <f t="shared" si="1"/>
        <v>01068020060000100</v>
      </c>
    </row>
    <row r="51" spans="1:9" ht="25.5">
      <c r="A51" s="241" t="s">
        <v>1203</v>
      </c>
      <c r="B51" s="242" t="s">
        <v>179</v>
      </c>
      <c r="C51" s="242" t="s">
        <v>331</v>
      </c>
      <c r="D51" s="242" t="s">
        <v>638</v>
      </c>
      <c r="E51" s="242" t="s">
        <v>28</v>
      </c>
      <c r="F51" s="243">
        <v>928574</v>
      </c>
      <c r="G51" s="243">
        <v>927624</v>
      </c>
      <c r="H51" s="243">
        <f t="shared" si="0"/>
        <v>99.897692591005125</v>
      </c>
      <c r="I51" s="123" t="str">
        <f t="shared" si="1"/>
        <v>01068020060000120</v>
      </c>
    </row>
    <row r="52" spans="1:9" ht="25.5">
      <c r="A52" s="241" t="s">
        <v>953</v>
      </c>
      <c r="B52" s="242" t="s">
        <v>179</v>
      </c>
      <c r="C52" s="242" t="s">
        <v>331</v>
      </c>
      <c r="D52" s="242" t="s">
        <v>638</v>
      </c>
      <c r="E52" s="242" t="s">
        <v>324</v>
      </c>
      <c r="F52" s="243">
        <v>707545</v>
      </c>
      <c r="G52" s="243">
        <v>707545</v>
      </c>
      <c r="H52" s="243">
        <f t="shared" si="0"/>
        <v>100</v>
      </c>
      <c r="I52" s="123" t="str">
        <f t="shared" si="1"/>
        <v>01068020060000121</v>
      </c>
    </row>
    <row r="53" spans="1:9" ht="38.25">
      <c r="A53" s="241" t="s">
        <v>325</v>
      </c>
      <c r="B53" s="242" t="s">
        <v>179</v>
      </c>
      <c r="C53" s="242" t="s">
        <v>331</v>
      </c>
      <c r="D53" s="242" t="s">
        <v>638</v>
      </c>
      <c r="E53" s="242" t="s">
        <v>326</v>
      </c>
      <c r="F53" s="243">
        <v>7350</v>
      </c>
      <c r="G53" s="243">
        <v>6400</v>
      </c>
      <c r="H53" s="243">
        <f t="shared" si="0"/>
        <v>87.074829931972786</v>
      </c>
      <c r="I53" s="123" t="str">
        <f t="shared" si="1"/>
        <v>01068020060000122</v>
      </c>
    </row>
    <row r="54" spans="1:9" ht="38.25">
      <c r="A54" s="241" t="s">
        <v>1054</v>
      </c>
      <c r="B54" s="242" t="s">
        <v>179</v>
      </c>
      <c r="C54" s="242" t="s">
        <v>331</v>
      </c>
      <c r="D54" s="242" t="s">
        <v>638</v>
      </c>
      <c r="E54" s="242" t="s">
        <v>1055</v>
      </c>
      <c r="F54" s="243">
        <v>213679</v>
      </c>
      <c r="G54" s="243">
        <v>213679</v>
      </c>
      <c r="H54" s="243">
        <f t="shared" si="0"/>
        <v>100</v>
      </c>
      <c r="I54" s="123" t="str">
        <f t="shared" si="1"/>
        <v>01068020060000129</v>
      </c>
    </row>
    <row r="55" spans="1:9" ht="25.5">
      <c r="A55" s="241" t="s">
        <v>1319</v>
      </c>
      <c r="B55" s="242" t="s">
        <v>179</v>
      </c>
      <c r="C55" s="242" t="s">
        <v>331</v>
      </c>
      <c r="D55" s="242" t="s">
        <v>638</v>
      </c>
      <c r="E55" s="242" t="s">
        <v>1320</v>
      </c>
      <c r="F55" s="243">
        <v>58752</v>
      </c>
      <c r="G55" s="243">
        <v>55774.32</v>
      </c>
      <c r="H55" s="243">
        <f t="shared" si="0"/>
        <v>94.931781045751634</v>
      </c>
      <c r="I55" s="123" t="str">
        <f t="shared" si="1"/>
        <v>01068020060000200</v>
      </c>
    </row>
    <row r="56" spans="1:9" ht="25.5">
      <c r="A56" s="241" t="s">
        <v>1196</v>
      </c>
      <c r="B56" s="242" t="s">
        <v>179</v>
      </c>
      <c r="C56" s="242" t="s">
        <v>331</v>
      </c>
      <c r="D56" s="242" t="s">
        <v>638</v>
      </c>
      <c r="E56" s="242" t="s">
        <v>1197</v>
      </c>
      <c r="F56" s="243">
        <v>58752</v>
      </c>
      <c r="G56" s="243">
        <v>55774.32</v>
      </c>
      <c r="H56" s="243">
        <f t="shared" si="0"/>
        <v>94.931781045751634</v>
      </c>
      <c r="I56" s="123" t="str">
        <f t="shared" si="1"/>
        <v>01068020060000240</v>
      </c>
    </row>
    <row r="57" spans="1:9">
      <c r="A57" s="241" t="s">
        <v>1223</v>
      </c>
      <c r="B57" s="242" t="s">
        <v>179</v>
      </c>
      <c r="C57" s="242" t="s">
        <v>331</v>
      </c>
      <c r="D57" s="242" t="s">
        <v>638</v>
      </c>
      <c r="E57" s="242" t="s">
        <v>329</v>
      </c>
      <c r="F57" s="243">
        <v>58752</v>
      </c>
      <c r="G57" s="243">
        <v>55774.32</v>
      </c>
      <c r="H57" s="243">
        <f t="shared" si="0"/>
        <v>94.931781045751634</v>
      </c>
      <c r="I57" s="123" t="str">
        <f t="shared" si="1"/>
        <v>01068020060000244</v>
      </c>
    </row>
    <row r="58" spans="1:9">
      <c r="A58" s="241" t="s">
        <v>1321</v>
      </c>
      <c r="B58" s="242" t="s">
        <v>179</v>
      </c>
      <c r="C58" s="242" t="s">
        <v>331</v>
      </c>
      <c r="D58" s="242" t="s">
        <v>638</v>
      </c>
      <c r="E58" s="242" t="s">
        <v>1322</v>
      </c>
      <c r="F58" s="243">
        <v>23.2</v>
      </c>
      <c r="G58" s="243">
        <v>23.2</v>
      </c>
      <c r="H58" s="243">
        <f t="shared" si="0"/>
        <v>100</v>
      </c>
      <c r="I58" s="123" t="str">
        <f t="shared" si="1"/>
        <v>01068020060000800</v>
      </c>
    </row>
    <row r="59" spans="1:9">
      <c r="A59" s="241" t="s">
        <v>1201</v>
      </c>
      <c r="B59" s="242" t="s">
        <v>179</v>
      </c>
      <c r="C59" s="242" t="s">
        <v>331</v>
      </c>
      <c r="D59" s="242" t="s">
        <v>638</v>
      </c>
      <c r="E59" s="242" t="s">
        <v>1202</v>
      </c>
      <c r="F59" s="243">
        <v>23.2</v>
      </c>
      <c r="G59" s="243">
        <v>23.2</v>
      </c>
      <c r="H59" s="243">
        <f t="shared" si="0"/>
        <v>100</v>
      </c>
      <c r="I59" s="123" t="str">
        <f t="shared" si="1"/>
        <v>01068020060000850</v>
      </c>
    </row>
    <row r="60" spans="1:9">
      <c r="A60" s="241" t="s">
        <v>1057</v>
      </c>
      <c r="B60" s="242" t="s">
        <v>179</v>
      </c>
      <c r="C60" s="242" t="s">
        <v>331</v>
      </c>
      <c r="D60" s="242" t="s">
        <v>638</v>
      </c>
      <c r="E60" s="242" t="s">
        <v>1058</v>
      </c>
      <c r="F60" s="243">
        <v>23.2</v>
      </c>
      <c r="G60" s="243">
        <v>23.2</v>
      </c>
      <c r="H60" s="243">
        <f t="shared" si="0"/>
        <v>100</v>
      </c>
      <c r="I60" s="123" t="str">
        <f t="shared" si="1"/>
        <v>01068020060000853</v>
      </c>
    </row>
    <row r="61" spans="1:9" ht="38.25">
      <c r="A61" s="241" t="s">
        <v>2035</v>
      </c>
      <c r="B61" s="242" t="s">
        <v>179</v>
      </c>
      <c r="C61" s="242" t="s">
        <v>331</v>
      </c>
      <c r="D61" s="242" t="s">
        <v>2036</v>
      </c>
      <c r="E61" s="242"/>
      <c r="F61" s="243">
        <v>105026.8</v>
      </c>
      <c r="G61" s="243">
        <v>101000</v>
      </c>
      <c r="H61" s="243">
        <f t="shared" si="0"/>
        <v>96.165930981425703</v>
      </c>
      <c r="I61" s="123" t="str">
        <f t="shared" si="1"/>
        <v>0106802006Ф000</v>
      </c>
    </row>
    <row r="62" spans="1:9" ht="25.5">
      <c r="A62" s="241" t="s">
        <v>1319</v>
      </c>
      <c r="B62" s="242" t="s">
        <v>179</v>
      </c>
      <c r="C62" s="242" t="s">
        <v>331</v>
      </c>
      <c r="D62" s="242" t="s">
        <v>2036</v>
      </c>
      <c r="E62" s="242" t="s">
        <v>1320</v>
      </c>
      <c r="F62" s="243">
        <v>105026.8</v>
      </c>
      <c r="G62" s="243">
        <v>101000</v>
      </c>
      <c r="H62" s="243">
        <f t="shared" si="0"/>
        <v>96.165930981425703</v>
      </c>
      <c r="I62" s="123" t="str">
        <f t="shared" si="1"/>
        <v>0106802006Ф000200</v>
      </c>
    </row>
    <row r="63" spans="1:9" ht="25.5">
      <c r="A63" s="241" t="s">
        <v>1196</v>
      </c>
      <c r="B63" s="242" t="s">
        <v>179</v>
      </c>
      <c r="C63" s="242" t="s">
        <v>331</v>
      </c>
      <c r="D63" s="242" t="s">
        <v>2036</v>
      </c>
      <c r="E63" s="242" t="s">
        <v>1197</v>
      </c>
      <c r="F63" s="243">
        <v>105026.8</v>
      </c>
      <c r="G63" s="243">
        <v>101000</v>
      </c>
      <c r="H63" s="243">
        <f t="shared" si="0"/>
        <v>96.165930981425703</v>
      </c>
      <c r="I63" s="123" t="str">
        <f t="shared" si="1"/>
        <v>0106802006Ф000240</v>
      </c>
    </row>
    <row r="64" spans="1:9">
      <c r="A64" s="241" t="s">
        <v>1223</v>
      </c>
      <c r="B64" s="242" t="s">
        <v>179</v>
      </c>
      <c r="C64" s="242" t="s">
        <v>331</v>
      </c>
      <c r="D64" s="242" t="s">
        <v>2036</v>
      </c>
      <c r="E64" s="242" t="s">
        <v>329</v>
      </c>
      <c r="F64" s="243">
        <v>105026.8</v>
      </c>
      <c r="G64" s="243">
        <v>101000</v>
      </c>
      <c r="H64" s="243">
        <f t="shared" si="0"/>
        <v>96.165930981425703</v>
      </c>
      <c r="I64" s="123" t="str">
        <f t="shared" si="1"/>
        <v>0106802006Ф000244</v>
      </c>
    </row>
    <row r="65" spans="1:9" ht="51">
      <c r="A65" s="241" t="s">
        <v>332</v>
      </c>
      <c r="B65" s="242" t="s">
        <v>179</v>
      </c>
      <c r="C65" s="242" t="s">
        <v>331</v>
      </c>
      <c r="D65" s="242" t="s">
        <v>1010</v>
      </c>
      <c r="E65" s="242"/>
      <c r="F65" s="243">
        <v>1413756</v>
      </c>
      <c r="G65" s="243">
        <v>1411135.93</v>
      </c>
      <c r="H65" s="243">
        <f t="shared" si="0"/>
        <v>99.814673111908974</v>
      </c>
      <c r="I65" s="123" t="str">
        <f t="shared" si="1"/>
        <v>01068040000000</v>
      </c>
    </row>
    <row r="66" spans="1:9" ht="63.75">
      <c r="A66" s="241" t="s">
        <v>2033</v>
      </c>
      <c r="B66" s="242" t="s">
        <v>179</v>
      </c>
      <c r="C66" s="242" t="s">
        <v>331</v>
      </c>
      <c r="D66" s="242" t="s">
        <v>2195</v>
      </c>
      <c r="E66" s="242"/>
      <c r="F66" s="243">
        <v>181510</v>
      </c>
      <c r="G66" s="243">
        <v>181510</v>
      </c>
      <c r="H66" s="243">
        <f t="shared" si="0"/>
        <v>100</v>
      </c>
      <c r="I66" s="123" t="str">
        <f t="shared" si="1"/>
        <v>01068040027242</v>
      </c>
    </row>
    <row r="67" spans="1:9" ht="63.75">
      <c r="A67" s="241" t="s">
        <v>1318</v>
      </c>
      <c r="B67" s="242" t="s">
        <v>179</v>
      </c>
      <c r="C67" s="242" t="s">
        <v>331</v>
      </c>
      <c r="D67" s="242" t="s">
        <v>2195</v>
      </c>
      <c r="E67" s="242" t="s">
        <v>273</v>
      </c>
      <c r="F67" s="243">
        <v>181510</v>
      </c>
      <c r="G67" s="243">
        <v>181510</v>
      </c>
      <c r="H67" s="243">
        <f t="shared" si="0"/>
        <v>100</v>
      </c>
      <c r="I67" s="123" t="str">
        <f t="shared" si="1"/>
        <v>01068040027242100</v>
      </c>
    </row>
    <row r="68" spans="1:9" ht="25.5">
      <c r="A68" s="241" t="s">
        <v>1203</v>
      </c>
      <c r="B68" s="242" t="s">
        <v>179</v>
      </c>
      <c r="C68" s="242" t="s">
        <v>331</v>
      </c>
      <c r="D68" s="242" t="s">
        <v>2195</v>
      </c>
      <c r="E68" s="242" t="s">
        <v>28</v>
      </c>
      <c r="F68" s="243">
        <v>181510</v>
      </c>
      <c r="G68" s="243">
        <v>181510</v>
      </c>
      <c r="H68" s="243">
        <f t="shared" si="0"/>
        <v>100</v>
      </c>
      <c r="I68" s="123" t="str">
        <f t="shared" si="1"/>
        <v>01068040027242120</v>
      </c>
    </row>
    <row r="69" spans="1:9" ht="25.5">
      <c r="A69" s="241" t="s">
        <v>953</v>
      </c>
      <c r="B69" s="242" t="s">
        <v>179</v>
      </c>
      <c r="C69" s="242" t="s">
        <v>331</v>
      </c>
      <c r="D69" s="242" t="s">
        <v>2195</v>
      </c>
      <c r="E69" s="242" t="s">
        <v>324</v>
      </c>
      <c r="F69" s="243">
        <v>139409</v>
      </c>
      <c r="G69" s="243">
        <v>139409</v>
      </c>
      <c r="H69" s="243">
        <f t="shared" si="0"/>
        <v>100</v>
      </c>
      <c r="I69" s="123" t="str">
        <f t="shared" si="1"/>
        <v>01068040027242121</v>
      </c>
    </row>
    <row r="70" spans="1:9" ht="38.25">
      <c r="A70" s="241" t="s">
        <v>1054</v>
      </c>
      <c r="B70" s="242" t="s">
        <v>179</v>
      </c>
      <c r="C70" s="242" t="s">
        <v>331</v>
      </c>
      <c r="D70" s="242" t="s">
        <v>2195</v>
      </c>
      <c r="E70" s="242" t="s">
        <v>1055</v>
      </c>
      <c r="F70" s="243">
        <v>42101</v>
      </c>
      <c r="G70" s="243">
        <v>42101</v>
      </c>
      <c r="H70" s="243">
        <f t="shared" si="0"/>
        <v>100</v>
      </c>
      <c r="I70" s="123" t="str">
        <f t="shared" si="1"/>
        <v>01068040027242129</v>
      </c>
    </row>
    <row r="71" spans="1:9" ht="51">
      <c r="A71" s="241" t="s">
        <v>332</v>
      </c>
      <c r="B71" s="242" t="s">
        <v>179</v>
      </c>
      <c r="C71" s="242" t="s">
        <v>331</v>
      </c>
      <c r="D71" s="242" t="s">
        <v>642</v>
      </c>
      <c r="E71" s="242"/>
      <c r="F71" s="243">
        <v>1232246</v>
      </c>
      <c r="G71" s="243">
        <v>1229625.93</v>
      </c>
      <c r="H71" s="243">
        <f t="shared" ref="H71:H134" si="2">G71/F71*100</f>
        <v>99.787374436597887</v>
      </c>
      <c r="I71" s="123" t="str">
        <f t="shared" si="1"/>
        <v>01068040060000</v>
      </c>
    </row>
    <row r="72" spans="1:9" ht="63.75">
      <c r="A72" s="241" t="s">
        <v>1318</v>
      </c>
      <c r="B72" s="242" t="s">
        <v>179</v>
      </c>
      <c r="C72" s="242" t="s">
        <v>331</v>
      </c>
      <c r="D72" s="242" t="s">
        <v>642</v>
      </c>
      <c r="E72" s="242" t="s">
        <v>273</v>
      </c>
      <c r="F72" s="243">
        <v>1232246</v>
      </c>
      <c r="G72" s="243">
        <v>1229625.93</v>
      </c>
      <c r="H72" s="243">
        <f t="shared" si="2"/>
        <v>99.787374436597887</v>
      </c>
      <c r="I72" s="123" t="str">
        <f t="shared" ref="I72:I129" si="3">CONCATENATE(C72,D72,E72)</f>
        <v>01068040060000100</v>
      </c>
    </row>
    <row r="73" spans="1:9" ht="25.5">
      <c r="A73" s="241" t="s">
        <v>1203</v>
      </c>
      <c r="B73" s="242" t="s">
        <v>179</v>
      </c>
      <c r="C73" s="242" t="s">
        <v>331</v>
      </c>
      <c r="D73" s="242" t="s">
        <v>642</v>
      </c>
      <c r="E73" s="242" t="s">
        <v>28</v>
      </c>
      <c r="F73" s="243">
        <v>1232246</v>
      </c>
      <c r="G73" s="243">
        <v>1229625.93</v>
      </c>
      <c r="H73" s="243">
        <f t="shared" si="2"/>
        <v>99.787374436597887</v>
      </c>
      <c r="I73" s="123" t="str">
        <f t="shared" si="3"/>
        <v>01068040060000120</v>
      </c>
    </row>
    <row r="74" spans="1:9" ht="25.5">
      <c r="A74" s="241" t="s">
        <v>953</v>
      </c>
      <c r="B74" s="242" t="s">
        <v>179</v>
      </c>
      <c r="C74" s="242" t="s">
        <v>331</v>
      </c>
      <c r="D74" s="242" t="s">
        <v>642</v>
      </c>
      <c r="E74" s="242" t="s">
        <v>324</v>
      </c>
      <c r="F74" s="243">
        <v>946423</v>
      </c>
      <c r="G74" s="243">
        <v>946423</v>
      </c>
      <c r="H74" s="243">
        <f t="shared" si="2"/>
        <v>100</v>
      </c>
      <c r="I74" s="123" t="str">
        <f t="shared" si="3"/>
        <v>01068040060000121</v>
      </c>
    </row>
    <row r="75" spans="1:9" ht="38.25">
      <c r="A75" s="241" t="s">
        <v>1054</v>
      </c>
      <c r="B75" s="242" t="s">
        <v>179</v>
      </c>
      <c r="C75" s="242" t="s">
        <v>331</v>
      </c>
      <c r="D75" s="242" t="s">
        <v>642</v>
      </c>
      <c r="E75" s="242" t="s">
        <v>1055</v>
      </c>
      <c r="F75" s="243">
        <v>285823</v>
      </c>
      <c r="G75" s="243">
        <v>283202.93</v>
      </c>
      <c r="H75" s="243">
        <f t="shared" si="2"/>
        <v>99.083324295105712</v>
      </c>
      <c r="I75" s="123" t="str">
        <f t="shared" si="3"/>
        <v>01068040060000129</v>
      </c>
    </row>
    <row r="76" spans="1:9">
      <c r="A76" s="241" t="s">
        <v>181</v>
      </c>
      <c r="B76" s="242" t="s">
        <v>5</v>
      </c>
      <c r="C76" s="242"/>
      <c r="D76" s="242"/>
      <c r="E76" s="242"/>
      <c r="F76" s="243">
        <v>434227130.81</v>
      </c>
      <c r="G76" s="243">
        <v>428235135.31</v>
      </c>
      <c r="H76" s="243">
        <f t="shared" si="2"/>
        <v>98.620078047904883</v>
      </c>
      <c r="I76" s="123" t="str">
        <f t="shared" si="3"/>
        <v/>
      </c>
    </row>
    <row r="77" spans="1:9">
      <c r="A77" s="241" t="s">
        <v>234</v>
      </c>
      <c r="B77" s="242" t="s">
        <v>5</v>
      </c>
      <c r="C77" s="242" t="s">
        <v>1135</v>
      </c>
      <c r="D77" s="242"/>
      <c r="E77" s="242"/>
      <c r="F77" s="243">
        <v>84401362.159999996</v>
      </c>
      <c r="G77" s="243">
        <v>83812974.730000004</v>
      </c>
      <c r="H77" s="243">
        <f t="shared" si="2"/>
        <v>99.302869746480411</v>
      </c>
      <c r="I77" s="123" t="str">
        <f t="shared" si="3"/>
        <v>0100</v>
      </c>
    </row>
    <row r="78" spans="1:9" ht="38.25">
      <c r="A78" s="241" t="s">
        <v>1308</v>
      </c>
      <c r="B78" s="242" t="s">
        <v>5</v>
      </c>
      <c r="C78" s="242" t="s">
        <v>322</v>
      </c>
      <c r="D78" s="242"/>
      <c r="E78" s="242"/>
      <c r="F78" s="243">
        <v>2003661</v>
      </c>
      <c r="G78" s="243">
        <v>1999988.55</v>
      </c>
      <c r="H78" s="243">
        <f t="shared" si="2"/>
        <v>99.816713006840985</v>
      </c>
      <c r="I78" s="123" t="str">
        <f t="shared" si="3"/>
        <v>0102</v>
      </c>
    </row>
    <row r="79" spans="1:9" ht="25.5">
      <c r="A79" s="241" t="s">
        <v>599</v>
      </c>
      <c r="B79" s="242" t="s">
        <v>5</v>
      </c>
      <c r="C79" s="242" t="s">
        <v>322</v>
      </c>
      <c r="D79" s="242" t="s">
        <v>1006</v>
      </c>
      <c r="E79" s="242"/>
      <c r="F79" s="243">
        <v>2003661</v>
      </c>
      <c r="G79" s="243">
        <v>1999988.55</v>
      </c>
      <c r="H79" s="243">
        <f t="shared" si="2"/>
        <v>99.816713006840985</v>
      </c>
      <c r="I79" s="123" t="str">
        <f t="shared" si="3"/>
        <v>01028000000000</v>
      </c>
    </row>
    <row r="80" spans="1:9" ht="38.25">
      <c r="A80" s="241" t="s">
        <v>323</v>
      </c>
      <c r="B80" s="242" t="s">
        <v>5</v>
      </c>
      <c r="C80" s="242" t="s">
        <v>322</v>
      </c>
      <c r="D80" s="242" t="s">
        <v>1007</v>
      </c>
      <c r="E80" s="242"/>
      <c r="F80" s="243">
        <v>2003661</v>
      </c>
      <c r="G80" s="243">
        <v>1999988.55</v>
      </c>
      <c r="H80" s="243">
        <f t="shared" si="2"/>
        <v>99.816713006840985</v>
      </c>
      <c r="I80" s="123" t="str">
        <f t="shared" si="3"/>
        <v>01028010000000</v>
      </c>
    </row>
    <row r="81" spans="1:9" ht="63.75">
      <c r="A81" s="241" t="s">
        <v>2033</v>
      </c>
      <c r="B81" s="242" t="s">
        <v>5</v>
      </c>
      <c r="C81" s="242" t="s">
        <v>322</v>
      </c>
      <c r="D81" s="242" t="s">
        <v>2196</v>
      </c>
      <c r="E81" s="242"/>
      <c r="F81" s="243">
        <v>80870</v>
      </c>
      <c r="G81" s="243">
        <v>80870</v>
      </c>
      <c r="H81" s="243">
        <f t="shared" si="2"/>
        <v>100</v>
      </c>
      <c r="I81" s="123" t="str">
        <f t="shared" si="3"/>
        <v>01028010027242</v>
      </c>
    </row>
    <row r="82" spans="1:9" ht="63.75">
      <c r="A82" s="241" t="s">
        <v>1318</v>
      </c>
      <c r="B82" s="242" t="s">
        <v>5</v>
      </c>
      <c r="C82" s="242" t="s">
        <v>322</v>
      </c>
      <c r="D82" s="242" t="s">
        <v>2196</v>
      </c>
      <c r="E82" s="242" t="s">
        <v>273</v>
      </c>
      <c r="F82" s="243">
        <v>80870</v>
      </c>
      <c r="G82" s="243">
        <v>80870</v>
      </c>
      <c r="H82" s="243">
        <f t="shared" si="2"/>
        <v>100</v>
      </c>
      <c r="I82" s="123" t="str">
        <f t="shared" si="3"/>
        <v>01028010027242100</v>
      </c>
    </row>
    <row r="83" spans="1:9" ht="25.5">
      <c r="A83" s="241" t="s">
        <v>1203</v>
      </c>
      <c r="B83" s="242" t="s">
        <v>5</v>
      </c>
      <c r="C83" s="242" t="s">
        <v>322</v>
      </c>
      <c r="D83" s="242" t="s">
        <v>2196</v>
      </c>
      <c r="E83" s="242" t="s">
        <v>28</v>
      </c>
      <c r="F83" s="243">
        <v>80870</v>
      </c>
      <c r="G83" s="243">
        <v>80870</v>
      </c>
      <c r="H83" s="243">
        <f t="shared" si="2"/>
        <v>100</v>
      </c>
      <c r="I83" s="123" t="str">
        <f t="shared" si="3"/>
        <v>01028010027242120</v>
      </c>
    </row>
    <row r="84" spans="1:9" ht="25.5">
      <c r="A84" s="241" t="s">
        <v>953</v>
      </c>
      <c r="B84" s="242" t="s">
        <v>5</v>
      </c>
      <c r="C84" s="242" t="s">
        <v>322</v>
      </c>
      <c r="D84" s="242" t="s">
        <v>2196</v>
      </c>
      <c r="E84" s="242" t="s">
        <v>324</v>
      </c>
      <c r="F84" s="243">
        <v>80844</v>
      </c>
      <c r="G84" s="243">
        <v>80844</v>
      </c>
      <c r="H84" s="243">
        <f t="shared" si="2"/>
        <v>100</v>
      </c>
      <c r="I84" s="123" t="str">
        <f t="shared" si="3"/>
        <v>01028010027242121</v>
      </c>
    </row>
    <row r="85" spans="1:9" ht="38.25">
      <c r="A85" s="241" t="s">
        <v>1054</v>
      </c>
      <c r="B85" s="242" t="s">
        <v>5</v>
      </c>
      <c r="C85" s="242" t="s">
        <v>322</v>
      </c>
      <c r="D85" s="242" t="s">
        <v>2196</v>
      </c>
      <c r="E85" s="242" t="s">
        <v>1055</v>
      </c>
      <c r="F85" s="243">
        <v>26</v>
      </c>
      <c r="G85" s="243">
        <v>26</v>
      </c>
      <c r="H85" s="243">
        <f t="shared" si="2"/>
        <v>100</v>
      </c>
      <c r="I85" s="123" t="str">
        <f t="shared" si="3"/>
        <v>01028010027242129</v>
      </c>
    </row>
    <row r="86" spans="1:9" ht="38.25">
      <c r="A86" s="241" t="s">
        <v>323</v>
      </c>
      <c r="B86" s="242" t="s">
        <v>5</v>
      </c>
      <c r="C86" s="242" t="s">
        <v>322</v>
      </c>
      <c r="D86" s="242" t="s">
        <v>644</v>
      </c>
      <c r="E86" s="242"/>
      <c r="F86" s="243">
        <v>1922791</v>
      </c>
      <c r="G86" s="243">
        <v>1919118.55</v>
      </c>
      <c r="H86" s="243">
        <f t="shared" si="2"/>
        <v>99.809004202744873</v>
      </c>
      <c r="I86" s="123" t="str">
        <f t="shared" si="3"/>
        <v>01028010060000</v>
      </c>
    </row>
    <row r="87" spans="1:9" ht="63.75">
      <c r="A87" s="241" t="s">
        <v>1318</v>
      </c>
      <c r="B87" s="242" t="s">
        <v>5</v>
      </c>
      <c r="C87" s="242" t="s">
        <v>322</v>
      </c>
      <c r="D87" s="242" t="s">
        <v>644</v>
      </c>
      <c r="E87" s="242" t="s">
        <v>273</v>
      </c>
      <c r="F87" s="243">
        <v>1922791</v>
      </c>
      <c r="G87" s="243">
        <v>1919118.55</v>
      </c>
      <c r="H87" s="243">
        <f t="shared" si="2"/>
        <v>99.809004202744873</v>
      </c>
      <c r="I87" s="123" t="str">
        <f t="shared" si="3"/>
        <v>01028010060000100</v>
      </c>
    </row>
    <row r="88" spans="1:9" ht="25.5">
      <c r="A88" s="241" t="s">
        <v>1203</v>
      </c>
      <c r="B88" s="242" t="s">
        <v>5</v>
      </c>
      <c r="C88" s="242" t="s">
        <v>322</v>
      </c>
      <c r="D88" s="242" t="s">
        <v>644</v>
      </c>
      <c r="E88" s="242" t="s">
        <v>28</v>
      </c>
      <c r="F88" s="243">
        <v>1922791</v>
      </c>
      <c r="G88" s="243">
        <v>1919118.55</v>
      </c>
      <c r="H88" s="243">
        <f t="shared" si="2"/>
        <v>99.809004202744873</v>
      </c>
      <c r="I88" s="123" t="str">
        <f t="shared" si="3"/>
        <v>01028010060000120</v>
      </c>
    </row>
    <row r="89" spans="1:9" ht="25.5">
      <c r="A89" s="241" t="s">
        <v>953</v>
      </c>
      <c r="B89" s="242" t="s">
        <v>5</v>
      </c>
      <c r="C89" s="242" t="s">
        <v>322</v>
      </c>
      <c r="D89" s="242" t="s">
        <v>644</v>
      </c>
      <c r="E89" s="242" t="s">
        <v>324</v>
      </c>
      <c r="F89" s="243">
        <v>1445237</v>
      </c>
      <c r="G89" s="243">
        <v>1444877.34</v>
      </c>
      <c r="H89" s="243">
        <f t="shared" si="2"/>
        <v>99.975114116231452</v>
      </c>
      <c r="I89" s="123" t="str">
        <f t="shared" si="3"/>
        <v>01028010060000121</v>
      </c>
    </row>
    <row r="90" spans="1:9" ht="38.25">
      <c r="A90" s="241" t="s">
        <v>325</v>
      </c>
      <c r="B90" s="242" t="s">
        <v>5</v>
      </c>
      <c r="C90" s="242" t="s">
        <v>322</v>
      </c>
      <c r="D90" s="242" t="s">
        <v>644</v>
      </c>
      <c r="E90" s="242" t="s">
        <v>326</v>
      </c>
      <c r="F90" s="243">
        <v>16450</v>
      </c>
      <c r="G90" s="243">
        <v>16450</v>
      </c>
      <c r="H90" s="243">
        <f t="shared" si="2"/>
        <v>100</v>
      </c>
      <c r="I90" s="123" t="str">
        <f t="shared" si="3"/>
        <v>01028010060000122</v>
      </c>
    </row>
    <row r="91" spans="1:9" ht="38.25">
      <c r="A91" s="241" t="s">
        <v>1054</v>
      </c>
      <c r="B91" s="242" t="s">
        <v>5</v>
      </c>
      <c r="C91" s="242" t="s">
        <v>322</v>
      </c>
      <c r="D91" s="242" t="s">
        <v>644</v>
      </c>
      <c r="E91" s="242" t="s">
        <v>1055</v>
      </c>
      <c r="F91" s="243">
        <v>461104</v>
      </c>
      <c r="G91" s="243">
        <v>457791.21</v>
      </c>
      <c r="H91" s="243">
        <f t="shared" si="2"/>
        <v>99.281552534786087</v>
      </c>
      <c r="I91" s="123" t="str">
        <f t="shared" si="3"/>
        <v>01028010060000129</v>
      </c>
    </row>
    <row r="92" spans="1:9" ht="51">
      <c r="A92" s="241" t="s">
        <v>236</v>
      </c>
      <c r="B92" s="242" t="s">
        <v>5</v>
      </c>
      <c r="C92" s="242" t="s">
        <v>333</v>
      </c>
      <c r="D92" s="242"/>
      <c r="E92" s="242"/>
      <c r="F92" s="243">
        <v>81395507.549999997</v>
      </c>
      <c r="G92" s="243">
        <v>80836977.349999994</v>
      </c>
      <c r="H92" s="243">
        <f t="shared" si="2"/>
        <v>99.31380709229326</v>
      </c>
      <c r="I92" s="123" t="str">
        <f t="shared" si="3"/>
        <v>0104</v>
      </c>
    </row>
    <row r="93" spans="1:9" ht="25.5">
      <c r="A93" s="241" t="s">
        <v>599</v>
      </c>
      <c r="B93" s="242" t="s">
        <v>5</v>
      </c>
      <c r="C93" s="242" t="s">
        <v>333</v>
      </c>
      <c r="D93" s="242" t="s">
        <v>1006</v>
      </c>
      <c r="E93" s="242"/>
      <c r="F93" s="243">
        <v>80357999.989999995</v>
      </c>
      <c r="G93" s="243">
        <v>79799469.790000007</v>
      </c>
      <c r="H93" s="243">
        <f t="shared" si="2"/>
        <v>99.304947609361236</v>
      </c>
      <c r="I93" s="123" t="str">
        <f t="shared" si="3"/>
        <v>01048000000000</v>
      </c>
    </row>
    <row r="94" spans="1:9" ht="38.25">
      <c r="A94" s="241" t="s">
        <v>600</v>
      </c>
      <c r="B94" s="242" t="s">
        <v>5</v>
      </c>
      <c r="C94" s="242" t="s">
        <v>333</v>
      </c>
      <c r="D94" s="242" t="s">
        <v>1008</v>
      </c>
      <c r="E94" s="242"/>
      <c r="F94" s="243">
        <v>80357999.989999995</v>
      </c>
      <c r="G94" s="243">
        <v>79799469.790000007</v>
      </c>
      <c r="H94" s="243">
        <f t="shared" si="2"/>
        <v>99.304947609361236</v>
      </c>
      <c r="I94" s="123" t="str">
        <f t="shared" si="3"/>
        <v>01048020000000</v>
      </c>
    </row>
    <row r="95" spans="1:9" ht="63.75">
      <c r="A95" s="241" t="s">
        <v>2217</v>
      </c>
      <c r="B95" s="242" t="s">
        <v>5</v>
      </c>
      <c r="C95" s="242" t="s">
        <v>333</v>
      </c>
      <c r="D95" s="242" t="s">
        <v>2218</v>
      </c>
      <c r="E95" s="242"/>
      <c r="F95" s="243">
        <v>250735</v>
      </c>
      <c r="G95" s="243">
        <v>250735</v>
      </c>
      <c r="H95" s="243">
        <f t="shared" si="2"/>
        <v>100</v>
      </c>
      <c r="I95" s="123" t="str">
        <f t="shared" si="3"/>
        <v>01048020010340</v>
      </c>
    </row>
    <row r="96" spans="1:9" ht="63.75">
      <c r="A96" s="241" t="s">
        <v>1318</v>
      </c>
      <c r="B96" s="242" t="s">
        <v>5</v>
      </c>
      <c r="C96" s="242" t="s">
        <v>333</v>
      </c>
      <c r="D96" s="242" t="s">
        <v>2218</v>
      </c>
      <c r="E96" s="242" t="s">
        <v>273</v>
      </c>
      <c r="F96" s="243">
        <v>250735</v>
      </c>
      <c r="G96" s="243">
        <v>250735</v>
      </c>
      <c r="H96" s="243">
        <f t="shared" si="2"/>
        <v>100</v>
      </c>
      <c r="I96" s="123" t="str">
        <f t="shared" si="3"/>
        <v>01048020010340100</v>
      </c>
    </row>
    <row r="97" spans="1:9" ht="25.5">
      <c r="A97" s="241" t="s">
        <v>1203</v>
      </c>
      <c r="B97" s="242" t="s">
        <v>5</v>
      </c>
      <c r="C97" s="242" t="s">
        <v>333</v>
      </c>
      <c r="D97" s="242" t="s">
        <v>2218</v>
      </c>
      <c r="E97" s="242" t="s">
        <v>28</v>
      </c>
      <c r="F97" s="243">
        <v>250735</v>
      </c>
      <c r="G97" s="243">
        <v>250735</v>
      </c>
      <c r="H97" s="243">
        <f t="shared" si="2"/>
        <v>100</v>
      </c>
      <c r="I97" s="123" t="str">
        <f t="shared" si="3"/>
        <v>01048020010340120</v>
      </c>
    </row>
    <row r="98" spans="1:9" ht="25.5">
      <c r="A98" s="241" t="s">
        <v>953</v>
      </c>
      <c r="B98" s="242" t="s">
        <v>5</v>
      </c>
      <c r="C98" s="242" t="s">
        <v>333</v>
      </c>
      <c r="D98" s="242" t="s">
        <v>2218</v>
      </c>
      <c r="E98" s="242" t="s">
        <v>324</v>
      </c>
      <c r="F98" s="243">
        <v>192577</v>
      </c>
      <c r="G98" s="243">
        <v>192577</v>
      </c>
      <c r="H98" s="243">
        <f t="shared" si="2"/>
        <v>100</v>
      </c>
      <c r="I98" s="123" t="str">
        <f t="shared" si="3"/>
        <v>01048020010340121</v>
      </c>
    </row>
    <row r="99" spans="1:9" ht="38.25">
      <c r="A99" s="241" t="s">
        <v>1054</v>
      </c>
      <c r="B99" s="242" t="s">
        <v>5</v>
      </c>
      <c r="C99" s="242" t="s">
        <v>333</v>
      </c>
      <c r="D99" s="242" t="s">
        <v>2218</v>
      </c>
      <c r="E99" s="242" t="s">
        <v>1055</v>
      </c>
      <c r="F99" s="243">
        <v>58158</v>
      </c>
      <c r="G99" s="243">
        <v>58158</v>
      </c>
      <c r="H99" s="243">
        <f t="shared" si="2"/>
        <v>100</v>
      </c>
      <c r="I99" s="123" t="str">
        <f t="shared" si="3"/>
        <v>01048020010340129</v>
      </c>
    </row>
    <row r="100" spans="1:9" ht="102">
      <c r="A100" s="241" t="s">
        <v>2031</v>
      </c>
      <c r="B100" s="242" t="s">
        <v>5</v>
      </c>
      <c r="C100" s="242" t="s">
        <v>333</v>
      </c>
      <c r="D100" s="242" t="s">
        <v>2032</v>
      </c>
      <c r="E100" s="242"/>
      <c r="F100" s="243">
        <v>246900</v>
      </c>
      <c r="G100" s="243">
        <v>246900</v>
      </c>
      <c r="H100" s="243">
        <f t="shared" si="2"/>
        <v>100</v>
      </c>
      <c r="I100" s="123" t="str">
        <f t="shared" si="3"/>
        <v>01048020027241</v>
      </c>
    </row>
    <row r="101" spans="1:9" ht="63.75">
      <c r="A101" s="241" t="s">
        <v>1318</v>
      </c>
      <c r="B101" s="242" t="s">
        <v>5</v>
      </c>
      <c r="C101" s="242" t="s">
        <v>333</v>
      </c>
      <c r="D101" s="242" t="s">
        <v>2032</v>
      </c>
      <c r="E101" s="242" t="s">
        <v>273</v>
      </c>
      <c r="F101" s="243">
        <v>246900</v>
      </c>
      <c r="G101" s="243">
        <v>246900</v>
      </c>
      <c r="H101" s="243">
        <f t="shared" si="2"/>
        <v>100</v>
      </c>
      <c r="I101" s="123" t="str">
        <f t="shared" si="3"/>
        <v>01048020027241100</v>
      </c>
    </row>
    <row r="102" spans="1:9" ht="25.5">
      <c r="A102" s="241" t="s">
        <v>1203</v>
      </c>
      <c r="B102" s="242" t="s">
        <v>5</v>
      </c>
      <c r="C102" s="242" t="s">
        <v>333</v>
      </c>
      <c r="D102" s="242" t="s">
        <v>2032</v>
      </c>
      <c r="E102" s="242" t="s">
        <v>28</v>
      </c>
      <c r="F102" s="243">
        <v>246900</v>
      </c>
      <c r="G102" s="243">
        <v>246900</v>
      </c>
      <c r="H102" s="243">
        <f t="shared" si="2"/>
        <v>100</v>
      </c>
      <c r="I102" s="123" t="str">
        <f t="shared" si="3"/>
        <v>01048020027241120</v>
      </c>
    </row>
    <row r="103" spans="1:9" ht="25.5">
      <c r="A103" s="241" t="s">
        <v>953</v>
      </c>
      <c r="B103" s="242" t="s">
        <v>5</v>
      </c>
      <c r="C103" s="242" t="s">
        <v>333</v>
      </c>
      <c r="D103" s="242" t="s">
        <v>2032</v>
      </c>
      <c r="E103" s="242" t="s">
        <v>324</v>
      </c>
      <c r="F103" s="243">
        <v>189631</v>
      </c>
      <c r="G103" s="243">
        <v>189631</v>
      </c>
      <c r="H103" s="243">
        <f t="shared" si="2"/>
        <v>100</v>
      </c>
      <c r="I103" s="123" t="str">
        <f t="shared" si="3"/>
        <v>01048020027241121</v>
      </c>
    </row>
    <row r="104" spans="1:9" ht="38.25">
      <c r="A104" s="241" t="s">
        <v>1054</v>
      </c>
      <c r="B104" s="242" t="s">
        <v>5</v>
      </c>
      <c r="C104" s="242" t="s">
        <v>333</v>
      </c>
      <c r="D104" s="242" t="s">
        <v>2032</v>
      </c>
      <c r="E104" s="242" t="s">
        <v>1055</v>
      </c>
      <c r="F104" s="243">
        <v>57269</v>
      </c>
      <c r="G104" s="243">
        <v>57269</v>
      </c>
      <c r="H104" s="243">
        <f t="shared" si="2"/>
        <v>100</v>
      </c>
      <c r="I104" s="123" t="str">
        <f t="shared" si="3"/>
        <v>01048020027241129</v>
      </c>
    </row>
    <row r="105" spans="1:9" ht="63.75">
      <c r="A105" s="241" t="s">
        <v>2033</v>
      </c>
      <c r="B105" s="242" t="s">
        <v>5</v>
      </c>
      <c r="C105" s="242" t="s">
        <v>333</v>
      </c>
      <c r="D105" s="242" t="s">
        <v>2034</v>
      </c>
      <c r="E105" s="242"/>
      <c r="F105" s="243">
        <v>2800378</v>
      </c>
      <c r="G105" s="243">
        <v>2800378</v>
      </c>
      <c r="H105" s="243">
        <f t="shared" si="2"/>
        <v>100</v>
      </c>
      <c r="I105" s="123" t="str">
        <f t="shared" si="3"/>
        <v>01048020027242</v>
      </c>
    </row>
    <row r="106" spans="1:9" ht="63.75">
      <c r="A106" s="241" t="s">
        <v>1318</v>
      </c>
      <c r="B106" s="242" t="s">
        <v>5</v>
      </c>
      <c r="C106" s="242" t="s">
        <v>333</v>
      </c>
      <c r="D106" s="242" t="s">
        <v>2034</v>
      </c>
      <c r="E106" s="242" t="s">
        <v>273</v>
      </c>
      <c r="F106" s="243">
        <v>2800378</v>
      </c>
      <c r="G106" s="243">
        <v>2800378</v>
      </c>
      <c r="H106" s="243">
        <f t="shared" si="2"/>
        <v>100</v>
      </c>
      <c r="I106" s="123" t="str">
        <f t="shared" si="3"/>
        <v>01048020027242100</v>
      </c>
    </row>
    <row r="107" spans="1:9" ht="25.5">
      <c r="A107" s="241" t="s">
        <v>1203</v>
      </c>
      <c r="B107" s="242" t="s">
        <v>5</v>
      </c>
      <c r="C107" s="242" t="s">
        <v>333</v>
      </c>
      <c r="D107" s="242" t="s">
        <v>2034</v>
      </c>
      <c r="E107" s="242" t="s">
        <v>28</v>
      </c>
      <c r="F107" s="243">
        <v>2800378</v>
      </c>
      <c r="G107" s="243">
        <v>2800378</v>
      </c>
      <c r="H107" s="243">
        <f t="shared" si="2"/>
        <v>100</v>
      </c>
      <c r="I107" s="123" t="str">
        <f t="shared" si="3"/>
        <v>01048020027242120</v>
      </c>
    </row>
    <row r="108" spans="1:9" ht="25.5">
      <c r="A108" s="241" t="s">
        <v>953</v>
      </c>
      <c r="B108" s="242" t="s">
        <v>5</v>
      </c>
      <c r="C108" s="242" t="s">
        <v>333</v>
      </c>
      <c r="D108" s="242" t="s">
        <v>2034</v>
      </c>
      <c r="E108" s="242" t="s">
        <v>324</v>
      </c>
      <c r="F108" s="243">
        <v>2150828</v>
      </c>
      <c r="G108" s="243">
        <v>2150828</v>
      </c>
      <c r="H108" s="243">
        <f t="shared" si="2"/>
        <v>100</v>
      </c>
      <c r="I108" s="123" t="str">
        <f t="shared" si="3"/>
        <v>01048020027242121</v>
      </c>
    </row>
    <row r="109" spans="1:9" ht="38.25">
      <c r="A109" s="241" t="s">
        <v>1054</v>
      </c>
      <c r="B109" s="242" t="s">
        <v>5</v>
      </c>
      <c r="C109" s="242" t="s">
        <v>333</v>
      </c>
      <c r="D109" s="242" t="s">
        <v>2034</v>
      </c>
      <c r="E109" s="242" t="s">
        <v>1055</v>
      </c>
      <c r="F109" s="243">
        <v>649550</v>
      </c>
      <c r="G109" s="243">
        <v>649550</v>
      </c>
      <c r="H109" s="243">
        <f t="shared" si="2"/>
        <v>100</v>
      </c>
      <c r="I109" s="123" t="str">
        <f t="shared" si="3"/>
        <v>01048020027242129</v>
      </c>
    </row>
    <row r="110" spans="1:9" ht="38.25">
      <c r="A110" s="241" t="s">
        <v>328</v>
      </c>
      <c r="B110" s="242" t="s">
        <v>5</v>
      </c>
      <c r="C110" s="242" t="s">
        <v>333</v>
      </c>
      <c r="D110" s="242" t="s">
        <v>638</v>
      </c>
      <c r="E110" s="242"/>
      <c r="F110" s="243">
        <v>52686932.32</v>
      </c>
      <c r="G110" s="243">
        <v>52397085.409999996</v>
      </c>
      <c r="H110" s="243">
        <f t="shared" si="2"/>
        <v>99.449869451044165</v>
      </c>
      <c r="I110" s="123" t="str">
        <f t="shared" si="3"/>
        <v>01048020060000</v>
      </c>
    </row>
    <row r="111" spans="1:9" ht="63.75">
      <c r="A111" s="241" t="s">
        <v>1318</v>
      </c>
      <c r="B111" s="242" t="s">
        <v>5</v>
      </c>
      <c r="C111" s="242" t="s">
        <v>333</v>
      </c>
      <c r="D111" s="242" t="s">
        <v>638</v>
      </c>
      <c r="E111" s="242" t="s">
        <v>273</v>
      </c>
      <c r="F111" s="243">
        <v>43590522.380000003</v>
      </c>
      <c r="G111" s="243">
        <v>43447254.82</v>
      </c>
      <c r="H111" s="243">
        <f t="shared" si="2"/>
        <v>99.671333234433234</v>
      </c>
      <c r="I111" s="123" t="str">
        <f t="shared" si="3"/>
        <v>01048020060000100</v>
      </c>
    </row>
    <row r="112" spans="1:9" ht="25.5">
      <c r="A112" s="241" t="s">
        <v>1203</v>
      </c>
      <c r="B112" s="242" t="s">
        <v>5</v>
      </c>
      <c r="C112" s="242" t="s">
        <v>333</v>
      </c>
      <c r="D112" s="242" t="s">
        <v>638</v>
      </c>
      <c r="E112" s="242" t="s">
        <v>28</v>
      </c>
      <c r="F112" s="243">
        <v>43590522.380000003</v>
      </c>
      <c r="G112" s="243">
        <v>43447254.82</v>
      </c>
      <c r="H112" s="243">
        <f t="shared" si="2"/>
        <v>99.671333234433234</v>
      </c>
      <c r="I112" s="123" t="str">
        <f t="shared" si="3"/>
        <v>01048020060000120</v>
      </c>
    </row>
    <row r="113" spans="1:9" ht="25.5">
      <c r="A113" s="241" t="s">
        <v>953</v>
      </c>
      <c r="B113" s="242" t="s">
        <v>5</v>
      </c>
      <c r="C113" s="242" t="s">
        <v>333</v>
      </c>
      <c r="D113" s="242" t="s">
        <v>638</v>
      </c>
      <c r="E113" s="242" t="s">
        <v>324</v>
      </c>
      <c r="F113" s="243">
        <v>33082101</v>
      </c>
      <c r="G113" s="243">
        <v>33082101</v>
      </c>
      <c r="H113" s="243">
        <f t="shared" si="2"/>
        <v>100</v>
      </c>
      <c r="I113" s="123" t="str">
        <f t="shared" si="3"/>
        <v>01048020060000121</v>
      </c>
    </row>
    <row r="114" spans="1:9" ht="38.25">
      <c r="A114" s="241" t="s">
        <v>325</v>
      </c>
      <c r="B114" s="242" t="s">
        <v>5</v>
      </c>
      <c r="C114" s="242" t="s">
        <v>333</v>
      </c>
      <c r="D114" s="242" t="s">
        <v>638</v>
      </c>
      <c r="E114" s="242" t="s">
        <v>326</v>
      </c>
      <c r="F114" s="243">
        <v>530196.38</v>
      </c>
      <c r="G114" s="243">
        <v>482857</v>
      </c>
      <c r="H114" s="243">
        <f t="shared" si="2"/>
        <v>91.071349827020697</v>
      </c>
      <c r="I114" s="123" t="str">
        <f t="shared" si="3"/>
        <v>01048020060000122</v>
      </c>
    </row>
    <row r="115" spans="1:9" ht="38.25">
      <c r="A115" s="241" t="s">
        <v>1054</v>
      </c>
      <c r="B115" s="242" t="s">
        <v>5</v>
      </c>
      <c r="C115" s="242" t="s">
        <v>333</v>
      </c>
      <c r="D115" s="242" t="s">
        <v>638</v>
      </c>
      <c r="E115" s="242" t="s">
        <v>1055</v>
      </c>
      <c r="F115" s="243">
        <v>9978225</v>
      </c>
      <c r="G115" s="243">
        <v>9882296.8200000003</v>
      </c>
      <c r="H115" s="243">
        <f t="shared" si="2"/>
        <v>99.038624805514004</v>
      </c>
      <c r="I115" s="123" t="str">
        <f t="shared" si="3"/>
        <v>01048020060000129</v>
      </c>
    </row>
    <row r="116" spans="1:9" ht="25.5">
      <c r="A116" s="241" t="s">
        <v>1319</v>
      </c>
      <c r="B116" s="242" t="s">
        <v>5</v>
      </c>
      <c r="C116" s="242" t="s">
        <v>333</v>
      </c>
      <c r="D116" s="242" t="s">
        <v>638</v>
      </c>
      <c r="E116" s="242" t="s">
        <v>1320</v>
      </c>
      <c r="F116" s="243">
        <v>8213436.6299999999</v>
      </c>
      <c r="G116" s="243">
        <v>8066857.2800000003</v>
      </c>
      <c r="H116" s="243">
        <f t="shared" si="2"/>
        <v>98.215371267800251</v>
      </c>
      <c r="I116" s="123" t="str">
        <f t="shared" si="3"/>
        <v>01048020060000200</v>
      </c>
    </row>
    <row r="117" spans="1:9" ht="25.5">
      <c r="A117" s="241" t="s">
        <v>1196</v>
      </c>
      <c r="B117" s="242" t="s">
        <v>5</v>
      </c>
      <c r="C117" s="242" t="s">
        <v>333</v>
      </c>
      <c r="D117" s="242" t="s">
        <v>638</v>
      </c>
      <c r="E117" s="242" t="s">
        <v>1197</v>
      </c>
      <c r="F117" s="243">
        <v>8213436.6299999999</v>
      </c>
      <c r="G117" s="243">
        <v>8066857.2800000003</v>
      </c>
      <c r="H117" s="243">
        <f t="shared" si="2"/>
        <v>98.215371267800251</v>
      </c>
      <c r="I117" s="123" t="str">
        <f t="shared" si="3"/>
        <v>01048020060000240</v>
      </c>
    </row>
    <row r="118" spans="1:9">
      <c r="A118" s="241" t="s">
        <v>1223</v>
      </c>
      <c r="B118" s="242" t="s">
        <v>5</v>
      </c>
      <c r="C118" s="242" t="s">
        <v>333</v>
      </c>
      <c r="D118" s="242" t="s">
        <v>638</v>
      </c>
      <c r="E118" s="242" t="s">
        <v>329</v>
      </c>
      <c r="F118" s="243">
        <v>8213436.6299999999</v>
      </c>
      <c r="G118" s="243">
        <v>8066857.2800000003</v>
      </c>
      <c r="H118" s="243">
        <f t="shared" si="2"/>
        <v>98.215371267800251</v>
      </c>
      <c r="I118" s="123" t="str">
        <f t="shared" si="3"/>
        <v>01048020060000244</v>
      </c>
    </row>
    <row r="119" spans="1:9">
      <c r="A119" s="241" t="s">
        <v>1321</v>
      </c>
      <c r="B119" s="242" t="s">
        <v>5</v>
      </c>
      <c r="C119" s="242" t="s">
        <v>333</v>
      </c>
      <c r="D119" s="242" t="s">
        <v>638</v>
      </c>
      <c r="E119" s="242" t="s">
        <v>1322</v>
      </c>
      <c r="F119" s="243">
        <v>882973.31</v>
      </c>
      <c r="G119" s="243">
        <v>882973.31</v>
      </c>
      <c r="H119" s="243">
        <f t="shared" si="2"/>
        <v>100</v>
      </c>
      <c r="I119" s="123" t="str">
        <f t="shared" si="3"/>
        <v>01048020060000800</v>
      </c>
    </row>
    <row r="120" spans="1:9">
      <c r="A120" s="241" t="s">
        <v>1201</v>
      </c>
      <c r="B120" s="242" t="s">
        <v>5</v>
      </c>
      <c r="C120" s="242" t="s">
        <v>333</v>
      </c>
      <c r="D120" s="242" t="s">
        <v>638</v>
      </c>
      <c r="E120" s="242" t="s">
        <v>1202</v>
      </c>
      <c r="F120" s="243">
        <v>882973.31</v>
      </c>
      <c r="G120" s="243">
        <v>882973.31</v>
      </c>
      <c r="H120" s="243">
        <f t="shared" si="2"/>
        <v>100</v>
      </c>
      <c r="I120" s="123" t="str">
        <f t="shared" si="3"/>
        <v>01048020060000850</v>
      </c>
    </row>
    <row r="121" spans="1:9">
      <c r="A121" s="241" t="s">
        <v>1057</v>
      </c>
      <c r="B121" s="242" t="s">
        <v>5</v>
      </c>
      <c r="C121" s="242" t="s">
        <v>333</v>
      </c>
      <c r="D121" s="242" t="s">
        <v>638</v>
      </c>
      <c r="E121" s="242" t="s">
        <v>1058</v>
      </c>
      <c r="F121" s="243">
        <v>882973.31</v>
      </c>
      <c r="G121" s="243">
        <v>882973.31</v>
      </c>
      <c r="H121" s="243">
        <f t="shared" si="2"/>
        <v>100</v>
      </c>
      <c r="I121" s="123" t="str">
        <f t="shared" si="3"/>
        <v>01048020060000853</v>
      </c>
    </row>
    <row r="122" spans="1:9" ht="76.5">
      <c r="A122" s="241" t="s">
        <v>560</v>
      </c>
      <c r="B122" s="242" t="s">
        <v>5</v>
      </c>
      <c r="C122" s="242" t="s">
        <v>333</v>
      </c>
      <c r="D122" s="242" t="s">
        <v>648</v>
      </c>
      <c r="E122" s="242"/>
      <c r="F122" s="243">
        <v>1954860</v>
      </c>
      <c r="G122" s="243">
        <v>1921054.41</v>
      </c>
      <c r="H122" s="243">
        <f t="shared" si="2"/>
        <v>98.270689972683471</v>
      </c>
      <c r="I122" s="123" t="str">
        <f t="shared" si="3"/>
        <v>01048020061000</v>
      </c>
    </row>
    <row r="123" spans="1:9" ht="63.75">
      <c r="A123" s="241" t="s">
        <v>1318</v>
      </c>
      <c r="B123" s="242" t="s">
        <v>5</v>
      </c>
      <c r="C123" s="242" t="s">
        <v>333</v>
      </c>
      <c r="D123" s="242" t="s">
        <v>648</v>
      </c>
      <c r="E123" s="242" t="s">
        <v>273</v>
      </c>
      <c r="F123" s="243">
        <v>1954860</v>
      </c>
      <c r="G123" s="243">
        <v>1921054.41</v>
      </c>
      <c r="H123" s="243">
        <f t="shared" si="2"/>
        <v>98.270689972683471</v>
      </c>
      <c r="I123" s="123" t="str">
        <f t="shared" si="3"/>
        <v>01048020061000100</v>
      </c>
    </row>
    <row r="124" spans="1:9" ht="25.5">
      <c r="A124" s="241" t="s">
        <v>1203</v>
      </c>
      <c r="B124" s="242" t="s">
        <v>5</v>
      </c>
      <c r="C124" s="242" t="s">
        <v>333</v>
      </c>
      <c r="D124" s="242" t="s">
        <v>648</v>
      </c>
      <c r="E124" s="242" t="s">
        <v>28</v>
      </c>
      <c r="F124" s="243">
        <v>1954860</v>
      </c>
      <c r="G124" s="243">
        <v>1921054.41</v>
      </c>
      <c r="H124" s="243">
        <f t="shared" si="2"/>
        <v>98.270689972683471</v>
      </c>
      <c r="I124" s="123" t="str">
        <f t="shared" si="3"/>
        <v>01048020061000120</v>
      </c>
    </row>
    <row r="125" spans="1:9" ht="25.5">
      <c r="A125" s="241" t="s">
        <v>953</v>
      </c>
      <c r="B125" s="242" t="s">
        <v>5</v>
      </c>
      <c r="C125" s="242" t="s">
        <v>333</v>
      </c>
      <c r="D125" s="242" t="s">
        <v>648</v>
      </c>
      <c r="E125" s="242" t="s">
        <v>324</v>
      </c>
      <c r="F125" s="243">
        <v>1501429</v>
      </c>
      <c r="G125" s="243">
        <v>1467623.41</v>
      </c>
      <c r="H125" s="243">
        <f t="shared" si="2"/>
        <v>97.748438987124928</v>
      </c>
      <c r="I125" s="123" t="str">
        <f t="shared" si="3"/>
        <v>01048020061000121</v>
      </c>
    </row>
    <row r="126" spans="1:9" ht="38.25">
      <c r="A126" s="241" t="s">
        <v>1054</v>
      </c>
      <c r="B126" s="242" t="s">
        <v>5</v>
      </c>
      <c r="C126" s="242" t="s">
        <v>333</v>
      </c>
      <c r="D126" s="242" t="s">
        <v>648</v>
      </c>
      <c r="E126" s="242" t="s">
        <v>1055</v>
      </c>
      <c r="F126" s="243">
        <v>453431</v>
      </c>
      <c r="G126" s="243">
        <v>453431</v>
      </c>
      <c r="H126" s="243">
        <f t="shared" si="2"/>
        <v>100</v>
      </c>
      <c r="I126" s="123" t="str">
        <f t="shared" si="3"/>
        <v>01048020061000129</v>
      </c>
    </row>
    <row r="127" spans="1:9" ht="51">
      <c r="A127" s="241" t="s">
        <v>558</v>
      </c>
      <c r="B127" s="242" t="s">
        <v>5</v>
      </c>
      <c r="C127" s="242" t="s">
        <v>333</v>
      </c>
      <c r="D127" s="242" t="s">
        <v>639</v>
      </c>
      <c r="E127" s="242"/>
      <c r="F127" s="243">
        <v>591575</v>
      </c>
      <c r="G127" s="243">
        <v>575226.74</v>
      </c>
      <c r="H127" s="243">
        <f t="shared" si="2"/>
        <v>97.236485652706762</v>
      </c>
      <c r="I127" s="123" t="str">
        <f t="shared" si="3"/>
        <v>01048020067000</v>
      </c>
    </row>
    <row r="128" spans="1:9" ht="63.75">
      <c r="A128" s="241" t="s">
        <v>1318</v>
      </c>
      <c r="B128" s="242" t="s">
        <v>5</v>
      </c>
      <c r="C128" s="242" t="s">
        <v>333</v>
      </c>
      <c r="D128" s="242" t="s">
        <v>639</v>
      </c>
      <c r="E128" s="242" t="s">
        <v>273</v>
      </c>
      <c r="F128" s="243">
        <v>591575</v>
      </c>
      <c r="G128" s="243">
        <v>575226.74</v>
      </c>
      <c r="H128" s="243">
        <f t="shared" si="2"/>
        <v>97.236485652706762</v>
      </c>
      <c r="I128" s="123" t="str">
        <f t="shared" si="3"/>
        <v>01048020067000100</v>
      </c>
    </row>
    <row r="129" spans="1:9" ht="25.5">
      <c r="A129" s="241" t="s">
        <v>1203</v>
      </c>
      <c r="B129" s="242" t="s">
        <v>5</v>
      </c>
      <c r="C129" s="242" t="s">
        <v>333</v>
      </c>
      <c r="D129" s="242" t="s">
        <v>639</v>
      </c>
      <c r="E129" s="242" t="s">
        <v>28</v>
      </c>
      <c r="F129" s="243">
        <v>591575</v>
      </c>
      <c r="G129" s="243">
        <v>575226.74</v>
      </c>
      <c r="H129" s="243">
        <f t="shared" si="2"/>
        <v>97.236485652706762</v>
      </c>
      <c r="I129" s="123" t="str">
        <f t="shared" si="3"/>
        <v>01048020067000120</v>
      </c>
    </row>
    <row r="130" spans="1:9" ht="38.25">
      <c r="A130" s="241" t="s">
        <v>325</v>
      </c>
      <c r="B130" s="242" t="s">
        <v>5</v>
      </c>
      <c r="C130" s="242" t="s">
        <v>333</v>
      </c>
      <c r="D130" s="242" t="s">
        <v>639</v>
      </c>
      <c r="E130" s="242" t="s">
        <v>326</v>
      </c>
      <c r="F130" s="243">
        <v>591575</v>
      </c>
      <c r="G130" s="243">
        <v>575226.74</v>
      </c>
      <c r="H130" s="243">
        <f t="shared" si="2"/>
        <v>97.236485652706762</v>
      </c>
      <c r="I130" s="123" t="str">
        <f t="shared" ref="I130:I191" si="4">CONCATENATE(C130,D130,E130)</f>
        <v>01048020067000122</v>
      </c>
    </row>
    <row r="131" spans="1:9" ht="63.75">
      <c r="A131" s="241" t="s">
        <v>561</v>
      </c>
      <c r="B131" s="242" t="s">
        <v>5</v>
      </c>
      <c r="C131" s="242" t="s">
        <v>333</v>
      </c>
      <c r="D131" s="242" t="s">
        <v>649</v>
      </c>
      <c r="E131" s="242"/>
      <c r="F131" s="243">
        <v>8242322</v>
      </c>
      <c r="G131" s="243">
        <v>8228905.1200000001</v>
      </c>
      <c r="H131" s="243">
        <f t="shared" si="2"/>
        <v>99.837219657276194</v>
      </c>
      <c r="I131" s="123" t="str">
        <f t="shared" si="4"/>
        <v>0104802006Б000</v>
      </c>
    </row>
    <row r="132" spans="1:9" ht="63.75">
      <c r="A132" s="241" t="s">
        <v>1318</v>
      </c>
      <c r="B132" s="242" t="s">
        <v>5</v>
      </c>
      <c r="C132" s="242" t="s">
        <v>333</v>
      </c>
      <c r="D132" s="242" t="s">
        <v>649</v>
      </c>
      <c r="E132" s="242" t="s">
        <v>273</v>
      </c>
      <c r="F132" s="243">
        <v>8242322</v>
      </c>
      <c r="G132" s="243">
        <v>8228905.1200000001</v>
      </c>
      <c r="H132" s="243">
        <f t="shared" si="2"/>
        <v>99.837219657276194</v>
      </c>
      <c r="I132" s="123" t="str">
        <f t="shared" si="4"/>
        <v>0104802006Б000100</v>
      </c>
    </row>
    <row r="133" spans="1:9" ht="25.5">
      <c r="A133" s="241" t="s">
        <v>1203</v>
      </c>
      <c r="B133" s="242" t="s">
        <v>5</v>
      </c>
      <c r="C133" s="242" t="s">
        <v>333</v>
      </c>
      <c r="D133" s="242" t="s">
        <v>649</v>
      </c>
      <c r="E133" s="242" t="s">
        <v>28</v>
      </c>
      <c r="F133" s="243">
        <v>8242322</v>
      </c>
      <c r="G133" s="243">
        <v>8228905.1200000001</v>
      </c>
      <c r="H133" s="243">
        <f t="shared" si="2"/>
        <v>99.837219657276194</v>
      </c>
      <c r="I133" s="123" t="str">
        <f t="shared" si="4"/>
        <v>0104802006Б000120</v>
      </c>
    </row>
    <row r="134" spans="1:9" ht="25.5">
      <c r="A134" s="241" t="s">
        <v>953</v>
      </c>
      <c r="B134" s="242" t="s">
        <v>5</v>
      </c>
      <c r="C134" s="242" t="s">
        <v>333</v>
      </c>
      <c r="D134" s="242" t="s">
        <v>649</v>
      </c>
      <c r="E134" s="242" t="s">
        <v>324</v>
      </c>
      <c r="F134" s="243">
        <v>6366185</v>
      </c>
      <c r="G134" s="243">
        <v>6352768.1200000001</v>
      </c>
      <c r="H134" s="243">
        <f t="shared" si="2"/>
        <v>99.789247720573627</v>
      </c>
      <c r="I134" s="123" t="str">
        <f t="shared" si="4"/>
        <v>0104802006Б000121</v>
      </c>
    </row>
    <row r="135" spans="1:9" ht="38.25">
      <c r="A135" s="241" t="s">
        <v>1054</v>
      </c>
      <c r="B135" s="242" t="s">
        <v>5</v>
      </c>
      <c r="C135" s="242" t="s">
        <v>333</v>
      </c>
      <c r="D135" s="242" t="s">
        <v>649</v>
      </c>
      <c r="E135" s="242" t="s">
        <v>1055</v>
      </c>
      <c r="F135" s="243">
        <v>1876137</v>
      </c>
      <c r="G135" s="243">
        <v>1876137</v>
      </c>
      <c r="H135" s="243">
        <f t="shared" ref="H135:H198" si="5">G135/F135*100</f>
        <v>100</v>
      </c>
      <c r="I135" s="123" t="str">
        <f t="shared" si="4"/>
        <v>0104802006Б000129</v>
      </c>
    </row>
    <row r="136" spans="1:9" ht="38.25">
      <c r="A136" s="241" t="s">
        <v>954</v>
      </c>
      <c r="B136" s="242" t="s">
        <v>5</v>
      </c>
      <c r="C136" s="242" t="s">
        <v>333</v>
      </c>
      <c r="D136" s="242" t="s">
        <v>955</v>
      </c>
      <c r="E136" s="242"/>
      <c r="F136" s="243">
        <v>6819256.79</v>
      </c>
      <c r="G136" s="243">
        <v>6785380.9400000004</v>
      </c>
      <c r="H136" s="243">
        <f t="shared" si="5"/>
        <v>99.503232521619125</v>
      </c>
      <c r="I136" s="123" t="str">
        <f t="shared" si="4"/>
        <v>0104802006Г000</v>
      </c>
    </row>
    <row r="137" spans="1:9" ht="25.5">
      <c r="A137" s="241" t="s">
        <v>1319</v>
      </c>
      <c r="B137" s="242" t="s">
        <v>5</v>
      </c>
      <c r="C137" s="242" t="s">
        <v>333</v>
      </c>
      <c r="D137" s="242" t="s">
        <v>955</v>
      </c>
      <c r="E137" s="242" t="s">
        <v>1320</v>
      </c>
      <c r="F137" s="243">
        <v>6819256.79</v>
      </c>
      <c r="G137" s="243">
        <v>6785380.9400000004</v>
      </c>
      <c r="H137" s="243">
        <f t="shared" si="5"/>
        <v>99.503232521619125</v>
      </c>
      <c r="I137" s="123" t="str">
        <f t="shared" si="4"/>
        <v>0104802006Г000200</v>
      </c>
    </row>
    <row r="138" spans="1:9" ht="25.5">
      <c r="A138" s="241" t="s">
        <v>1196</v>
      </c>
      <c r="B138" s="242" t="s">
        <v>5</v>
      </c>
      <c r="C138" s="242" t="s">
        <v>333</v>
      </c>
      <c r="D138" s="242" t="s">
        <v>955</v>
      </c>
      <c r="E138" s="242" t="s">
        <v>1197</v>
      </c>
      <c r="F138" s="243">
        <v>6819256.79</v>
      </c>
      <c r="G138" s="243">
        <v>6785380.9400000004</v>
      </c>
      <c r="H138" s="243">
        <f t="shared" si="5"/>
        <v>99.503232521619125</v>
      </c>
      <c r="I138" s="123" t="str">
        <f t="shared" si="4"/>
        <v>0104802006Г000240</v>
      </c>
    </row>
    <row r="139" spans="1:9">
      <c r="A139" s="241" t="s">
        <v>1223</v>
      </c>
      <c r="B139" s="242" t="s">
        <v>5</v>
      </c>
      <c r="C139" s="242" t="s">
        <v>333</v>
      </c>
      <c r="D139" s="242" t="s">
        <v>955</v>
      </c>
      <c r="E139" s="242" t="s">
        <v>329</v>
      </c>
      <c r="F139" s="243">
        <v>160049.82999999999</v>
      </c>
      <c r="G139" s="243">
        <v>160049.51999999999</v>
      </c>
      <c r="H139" s="243">
        <f t="shared" si="5"/>
        <v>99.999806310322228</v>
      </c>
      <c r="I139" s="123" t="str">
        <f t="shared" si="4"/>
        <v>0104802006Г000244</v>
      </c>
    </row>
    <row r="140" spans="1:9">
      <c r="A140" s="241" t="s">
        <v>1699</v>
      </c>
      <c r="B140" s="242" t="s">
        <v>5</v>
      </c>
      <c r="C140" s="242" t="s">
        <v>333</v>
      </c>
      <c r="D140" s="242" t="s">
        <v>955</v>
      </c>
      <c r="E140" s="242" t="s">
        <v>1700</v>
      </c>
      <c r="F140" s="243">
        <v>6659206.96</v>
      </c>
      <c r="G140" s="243">
        <v>6625331.4199999999</v>
      </c>
      <c r="H140" s="243">
        <f t="shared" si="5"/>
        <v>99.491297684491855</v>
      </c>
      <c r="I140" s="123" t="str">
        <f t="shared" si="4"/>
        <v>0104802006Г000247</v>
      </c>
    </row>
    <row r="141" spans="1:9" ht="51">
      <c r="A141" s="241" t="s">
        <v>1509</v>
      </c>
      <c r="B141" s="242" t="s">
        <v>5</v>
      </c>
      <c r="C141" s="242" t="s">
        <v>333</v>
      </c>
      <c r="D141" s="242" t="s">
        <v>1510</v>
      </c>
      <c r="E141" s="242"/>
      <c r="F141" s="243">
        <v>169686.88</v>
      </c>
      <c r="G141" s="243">
        <v>169686.85</v>
      </c>
      <c r="H141" s="243">
        <f t="shared" si="5"/>
        <v>99.999982320377384</v>
      </c>
      <c r="I141" s="123" t="str">
        <f t="shared" si="4"/>
        <v>0104802006М000</v>
      </c>
    </row>
    <row r="142" spans="1:9" ht="25.5">
      <c r="A142" s="241" t="s">
        <v>1319</v>
      </c>
      <c r="B142" s="242" t="s">
        <v>5</v>
      </c>
      <c r="C142" s="242" t="s">
        <v>333</v>
      </c>
      <c r="D142" s="242" t="s">
        <v>1510</v>
      </c>
      <c r="E142" s="242" t="s">
        <v>1320</v>
      </c>
      <c r="F142" s="243">
        <v>169686.88</v>
      </c>
      <c r="G142" s="243">
        <v>169686.85</v>
      </c>
      <c r="H142" s="243">
        <f t="shared" si="5"/>
        <v>99.999982320377384</v>
      </c>
      <c r="I142" s="123" t="str">
        <f t="shared" si="4"/>
        <v>0104802006М000200</v>
      </c>
    </row>
    <row r="143" spans="1:9" ht="25.5">
      <c r="A143" s="241" t="s">
        <v>1196</v>
      </c>
      <c r="B143" s="242" t="s">
        <v>5</v>
      </c>
      <c r="C143" s="242" t="s">
        <v>333</v>
      </c>
      <c r="D143" s="242" t="s">
        <v>1510</v>
      </c>
      <c r="E143" s="242" t="s">
        <v>1197</v>
      </c>
      <c r="F143" s="243">
        <v>169686.88</v>
      </c>
      <c r="G143" s="243">
        <v>169686.85</v>
      </c>
      <c r="H143" s="243">
        <f t="shared" si="5"/>
        <v>99.999982320377384</v>
      </c>
      <c r="I143" s="123" t="str">
        <f t="shared" si="4"/>
        <v>0104802006М000240</v>
      </c>
    </row>
    <row r="144" spans="1:9">
      <c r="A144" s="241" t="s">
        <v>1223</v>
      </c>
      <c r="B144" s="242" t="s">
        <v>5</v>
      </c>
      <c r="C144" s="242" t="s">
        <v>333</v>
      </c>
      <c r="D144" s="242" t="s">
        <v>1510</v>
      </c>
      <c r="E144" s="242" t="s">
        <v>329</v>
      </c>
      <c r="F144" s="243">
        <v>169686.88</v>
      </c>
      <c r="G144" s="243">
        <v>169686.85</v>
      </c>
      <c r="H144" s="243">
        <f t="shared" si="5"/>
        <v>99.999982320377384</v>
      </c>
      <c r="I144" s="123" t="str">
        <f t="shared" si="4"/>
        <v>0104802006М000244</v>
      </c>
    </row>
    <row r="145" spans="1:9" ht="38.25">
      <c r="A145" s="241" t="s">
        <v>2035</v>
      </c>
      <c r="B145" s="242" t="s">
        <v>5</v>
      </c>
      <c r="C145" s="242" t="s">
        <v>333</v>
      </c>
      <c r="D145" s="242" t="s">
        <v>2036</v>
      </c>
      <c r="E145" s="242"/>
      <c r="F145" s="243">
        <v>1184286</v>
      </c>
      <c r="G145" s="243">
        <v>1183902.52</v>
      </c>
      <c r="H145" s="243">
        <f t="shared" si="5"/>
        <v>99.967619308173866</v>
      </c>
      <c r="I145" s="123" t="str">
        <f t="shared" si="4"/>
        <v>0104802006Ф000</v>
      </c>
    </row>
    <row r="146" spans="1:9" ht="25.5">
      <c r="A146" s="241" t="s">
        <v>1319</v>
      </c>
      <c r="B146" s="242" t="s">
        <v>5</v>
      </c>
      <c r="C146" s="242" t="s">
        <v>333</v>
      </c>
      <c r="D146" s="242" t="s">
        <v>2036</v>
      </c>
      <c r="E146" s="242" t="s">
        <v>1320</v>
      </c>
      <c r="F146" s="243">
        <v>1184286</v>
      </c>
      <c r="G146" s="243">
        <v>1183902.52</v>
      </c>
      <c r="H146" s="243">
        <f t="shared" si="5"/>
        <v>99.967619308173866</v>
      </c>
      <c r="I146" s="123" t="str">
        <f t="shared" si="4"/>
        <v>0104802006Ф000200</v>
      </c>
    </row>
    <row r="147" spans="1:9" ht="25.5">
      <c r="A147" s="241" t="s">
        <v>1196</v>
      </c>
      <c r="B147" s="242" t="s">
        <v>5</v>
      </c>
      <c r="C147" s="242" t="s">
        <v>333</v>
      </c>
      <c r="D147" s="242" t="s">
        <v>2036</v>
      </c>
      <c r="E147" s="242" t="s">
        <v>1197</v>
      </c>
      <c r="F147" s="243">
        <v>1184286</v>
      </c>
      <c r="G147" s="243">
        <v>1183902.52</v>
      </c>
      <c r="H147" s="243">
        <f t="shared" si="5"/>
        <v>99.967619308173866</v>
      </c>
      <c r="I147" s="123" t="str">
        <f t="shared" si="4"/>
        <v>0104802006Ф000240</v>
      </c>
    </row>
    <row r="148" spans="1:9">
      <c r="A148" s="241" t="s">
        <v>1223</v>
      </c>
      <c r="B148" s="242" t="s">
        <v>5</v>
      </c>
      <c r="C148" s="242" t="s">
        <v>333</v>
      </c>
      <c r="D148" s="242" t="s">
        <v>2036</v>
      </c>
      <c r="E148" s="242" t="s">
        <v>329</v>
      </c>
      <c r="F148" s="243">
        <v>1184286</v>
      </c>
      <c r="G148" s="243">
        <v>1183902.52</v>
      </c>
      <c r="H148" s="243">
        <f t="shared" si="5"/>
        <v>99.967619308173866</v>
      </c>
      <c r="I148" s="123" t="str">
        <f t="shared" si="4"/>
        <v>0104802006Ф000244</v>
      </c>
    </row>
    <row r="149" spans="1:9" ht="25.5">
      <c r="A149" s="241" t="s">
        <v>1073</v>
      </c>
      <c r="B149" s="242" t="s">
        <v>5</v>
      </c>
      <c r="C149" s="242" t="s">
        <v>333</v>
      </c>
      <c r="D149" s="242" t="s">
        <v>1074</v>
      </c>
      <c r="E149" s="242"/>
      <c r="F149" s="243">
        <v>968003</v>
      </c>
      <c r="G149" s="243">
        <v>829872.69</v>
      </c>
      <c r="H149" s="243">
        <f t="shared" si="5"/>
        <v>85.730384100049278</v>
      </c>
      <c r="I149" s="123" t="str">
        <f t="shared" si="4"/>
        <v>0104802006Э000</v>
      </c>
    </row>
    <row r="150" spans="1:9" ht="25.5">
      <c r="A150" s="241" t="s">
        <v>1319</v>
      </c>
      <c r="B150" s="242" t="s">
        <v>5</v>
      </c>
      <c r="C150" s="242" t="s">
        <v>333</v>
      </c>
      <c r="D150" s="242" t="s">
        <v>1074</v>
      </c>
      <c r="E150" s="242" t="s">
        <v>1320</v>
      </c>
      <c r="F150" s="243">
        <v>968003</v>
      </c>
      <c r="G150" s="243">
        <v>829872.69</v>
      </c>
      <c r="H150" s="243">
        <f t="shared" si="5"/>
        <v>85.730384100049278</v>
      </c>
      <c r="I150" s="123" t="str">
        <f t="shared" si="4"/>
        <v>0104802006Э000200</v>
      </c>
    </row>
    <row r="151" spans="1:9" ht="25.5">
      <c r="A151" s="241" t="s">
        <v>1196</v>
      </c>
      <c r="B151" s="242" t="s">
        <v>5</v>
      </c>
      <c r="C151" s="242" t="s">
        <v>333</v>
      </c>
      <c r="D151" s="242" t="s">
        <v>1074</v>
      </c>
      <c r="E151" s="242" t="s">
        <v>1197</v>
      </c>
      <c r="F151" s="243">
        <v>968003</v>
      </c>
      <c r="G151" s="243">
        <v>829872.69</v>
      </c>
      <c r="H151" s="243">
        <f t="shared" si="5"/>
        <v>85.730384100049278</v>
      </c>
      <c r="I151" s="123" t="str">
        <f t="shared" si="4"/>
        <v>0104802006Э000240</v>
      </c>
    </row>
    <row r="152" spans="1:9">
      <c r="A152" s="241" t="s">
        <v>1699</v>
      </c>
      <c r="B152" s="242" t="s">
        <v>5</v>
      </c>
      <c r="C152" s="242" t="s">
        <v>333</v>
      </c>
      <c r="D152" s="242" t="s">
        <v>1074</v>
      </c>
      <c r="E152" s="242" t="s">
        <v>1700</v>
      </c>
      <c r="F152" s="243">
        <v>968003</v>
      </c>
      <c r="G152" s="243">
        <v>829872.69</v>
      </c>
      <c r="H152" s="243">
        <f t="shared" si="5"/>
        <v>85.730384100049278</v>
      </c>
      <c r="I152" s="123" t="str">
        <f t="shared" si="4"/>
        <v>0104802006Э000247</v>
      </c>
    </row>
    <row r="153" spans="1:9" ht="76.5">
      <c r="A153" s="241" t="s">
        <v>335</v>
      </c>
      <c r="B153" s="242" t="s">
        <v>5</v>
      </c>
      <c r="C153" s="242" t="s">
        <v>333</v>
      </c>
      <c r="D153" s="242" t="s">
        <v>646</v>
      </c>
      <c r="E153" s="242"/>
      <c r="F153" s="243">
        <v>942450</v>
      </c>
      <c r="G153" s="243">
        <v>937450</v>
      </c>
      <c r="H153" s="243">
        <f t="shared" si="5"/>
        <v>99.469467876279907</v>
      </c>
      <c r="I153" s="123" t="str">
        <f t="shared" si="4"/>
        <v>01048020074670</v>
      </c>
    </row>
    <row r="154" spans="1:9" ht="63.75">
      <c r="A154" s="241" t="s">
        <v>1318</v>
      </c>
      <c r="B154" s="242" t="s">
        <v>5</v>
      </c>
      <c r="C154" s="242" t="s">
        <v>333</v>
      </c>
      <c r="D154" s="242" t="s">
        <v>646</v>
      </c>
      <c r="E154" s="242" t="s">
        <v>273</v>
      </c>
      <c r="F154" s="243">
        <v>910650</v>
      </c>
      <c r="G154" s="243">
        <v>910650</v>
      </c>
      <c r="H154" s="243">
        <f t="shared" si="5"/>
        <v>100</v>
      </c>
      <c r="I154" s="123" t="str">
        <f t="shared" si="4"/>
        <v>01048020074670100</v>
      </c>
    </row>
    <row r="155" spans="1:9" ht="25.5">
      <c r="A155" s="241" t="s">
        <v>1203</v>
      </c>
      <c r="B155" s="242" t="s">
        <v>5</v>
      </c>
      <c r="C155" s="242" t="s">
        <v>333</v>
      </c>
      <c r="D155" s="242" t="s">
        <v>646</v>
      </c>
      <c r="E155" s="242" t="s">
        <v>28</v>
      </c>
      <c r="F155" s="243">
        <v>910650</v>
      </c>
      <c r="G155" s="243">
        <v>910650</v>
      </c>
      <c r="H155" s="243">
        <f t="shared" si="5"/>
        <v>100</v>
      </c>
      <c r="I155" s="123" t="str">
        <f t="shared" si="4"/>
        <v>01048020074670120</v>
      </c>
    </row>
    <row r="156" spans="1:9" ht="25.5">
      <c r="A156" s="241" t="s">
        <v>953</v>
      </c>
      <c r="B156" s="242" t="s">
        <v>5</v>
      </c>
      <c r="C156" s="242" t="s">
        <v>333</v>
      </c>
      <c r="D156" s="242" t="s">
        <v>646</v>
      </c>
      <c r="E156" s="242" t="s">
        <v>324</v>
      </c>
      <c r="F156" s="243">
        <v>684690</v>
      </c>
      <c r="G156" s="243">
        <v>684690</v>
      </c>
      <c r="H156" s="243">
        <f t="shared" si="5"/>
        <v>100</v>
      </c>
      <c r="I156" s="123" t="str">
        <f t="shared" si="4"/>
        <v>01048020074670121</v>
      </c>
    </row>
    <row r="157" spans="1:9" ht="38.25">
      <c r="A157" s="241" t="s">
        <v>325</v>
      </c>
      <c r="B157" s="242" t="s">
        <v>5</v>
      </c>
      <c r="C157" s="242" t="s">
        <v>333</v>
      </c>
      <c r="D157" s="242" t="s">
        <v>646</v>
      </c>
      <c r="E157" s="242" t="s">
        <v>326</v>
      </c>
      <c r="F157" s="243">
        <v>19200</v>
      </c>
      <c r="G157" s="243">
        <v>19200</v>
      </c>
      <c r="H157" s="243">
        <f t="shared" si="5"/>
        <v>100</v>
      </c>
      <c r="I157" s="123" t="str">
        <f t="shared" si="4"/>
        <v>01048020074670122</v>
      </c>
    </row>
    <row r="158" spans="1:9" ht="38.25">
      <c r="A158" s="241" t="s">
        <v>1054</v>
      </c>
      <c r="B158" s="242" t="s">
        <v>5</v>
      </c>
      <c r="C158" s="242" t="s">
        <v>333</v>
      </c>
      <c r="D158" s="242" t="s">
        <v>646</v>
      </c>
      <c r="E158" s="242" t="s">
        <v>1055</v>
      </c>
      <c r="F158" s="243">
        <v>206760</v>
      </c>
      <c r="G158" s="243">
        <v>206760</v>
      </c>
      <c r="H158" s="243">
        <f t="shared" si="5"/>
        <v>100</v>
      </c>
      <c r="I158" s="123" t="str">
        <f t="shared" si="4"/>
        <v>01048020074670129</v>
      </c>
    </row>
    <row r="159" spans="1:9" ht="25.5">
      <c r="A159" s="241" t="s">
        <v>1319</v>
      </c>
      <c r="B159" s="242" t="s">
        <v>5</v>
      </c>
      <c r="C159" s="242" t="s">
        <v>333</v>
      </c>
      <c r="D159" s="242" t="s">
        <v>646</v>
      </c>
      <c r="E159" s="242" t="s">
        <v>1320</v>
      </c>
      <c r="F159" s="243">
        <v>31800</v>
      </c>
      <c r="G159" s="243">
        <v>26800</v>
      </c>
      <c r="H159" s="243">
        <f t="shared" si="5"/>
        <v>84.276729559748432</v>
      </c>
      <c r="I159" s="123" t="str">
        <f t="shared" si="4"/>
        <v>01048020074670200</v>
      </c>
    </row>
    <row r="160" spans="1:9" ht="25.5">
      <c r="A160" s="241" t="s">
        <v>1196</v>
      </c>
      <c r="B160" s="242" t="s">
        <v>5</v>
      </c>
      <c r="C160" s="242" t="s">
        <v>333</v>
      </c>
      <c r="D160" s="242" t="s">
        <v>646</v>
      </c>
      <c r="E160" s="242" t="s">
        <v>1197</v>
      </c>
      <c r="F160" s="243">
        <v>31800</v>
      </c>
      <c r="G160" s="243">
        <v>26800</v>
      </c>
      <c r="H160" s="243">
        <f t="shared" si="5"/>
        <v>84.276729559748432</v>
      </c>
      <c r="I160" s="123" t="str">
        <f t="shared" si="4"/>
        <v>01048020074670240</v>
      </c>
    </row>
    <row r="161" spans="1:9">
      <c r="A161" s="241" t="s">
        <v>1223</v>
      </c>
      <c r="B161" s="242" t="s">
        <v>5</v>
      </c>
      <c r="C161" s="242" t="s">
        <v>333</v>
      </c>
      <c r="D161" s="242" t="s">
        <v>646</v>
      </c>
      <c r="E161" s="242" t="s">
        <v>329</v>
      </c>
      <c r="F161" s="243">
        <v>31800</v>
      </c>
      <c r="G161" s="243">
        <v>26800</v>
      </c>
      <c r="H161" s="243">
        <f t="shared" si="5"/>
        <v>84.276729559748432</v>
      </c>
      <c r="I161" s="123" t="str">
        <f t="shared" si="4"/>
        <v>01048020074670244</v>
      </c>
    </row>
    <row r="162" spans="1:9" ht="63.75">
      <c r="A162" s="241" t="s">
        <v>336</v>
      </c>
      <c r="B162" s="242" t="s">
        <v>5</v>
      </c>
      <c r="C162" s="242" t="s">
        <v>333</v>
      </c>
      <c r="D162" s="242" t="s">
        <v>647</v>
      </c>
      <c r="E162" s="242"/>
      <c r="F162" s="243">
        <v>2609000</v>
      </c>
      <c r="G162" s="243">
        <v>2581277.11</v>
      </c>
      <c r="H162" s="243">
        <f t="shared" si="5"/>
        <v>98.937413185128392</v>
      </c>
      <c r="I162" s="123" t="str">
        <f t="shared" si="4"/>
        <v>01048020076040</v>
      </c>
    </row>
    <row r="163" spans="1:9" ht="63.75">
      <c r="A163" s="241" t="s">
        <v>1318</v>
      </c>
      <c r="B163" s="242" t="s">
        <v>5</v>
      </c>
      <c r="C163" s="242" t="s">
        <v>333</v>
      </c>
      <c r="D163" s="242" t="s">
        <v>647</v>
      </c>
      <c r="E163" s="242" t="s">
        <v>273</v>
      </c>
      <c r="F163" s="243">
        <v>2110387.25</v>
      </c>
      <c r="G163" s="243">
        <v>2082664.36</v>
      </c>
      <c r="H163" s="243">
        <f t="shared" si="5"/>
        <v>98.686360050744241</v>
      </c>
      <c r="I163" s="123" t="str">
        <f t="shared" si="4"/>
        <v>01048020076040100</v>
      </c>
    </row>
    <row r="164" spans="1:9" ht="25.5">
      <c r="A164" s="241" t="s">
        <v>1203</v>
      </c>
      <c r="B164" s="242" t="s">
        <v>5</v>
      </c>
      <c r="C164" s="242" t="s">
        <v>333</v>
      </c>
      <c r="D164" s="242" t="s">
        <v>647</v>
      </c>
      <c r="E164" s="242" t="s">
        <v>28</v>
      </c>
      <c r="F164" s="243">
        <v>2110387.25</v>
      </c>
      <c r="G164" s="243">
        <v>2082664.36</v>
      </c>
      <c r="H164" s="243">
        <f t="shared" si="5"/>
        <v>98.686360050744241</v>
      </c>
      <c r="I164" s="123" t="str">
        <f t="shared" si="4"/>
        <v>01048020076040120</v>
      </c>
    </row>
    <row r="165" spans="1:9" ht="25.5">
      <c r="A165" s="241" t="s">
        <v>953</v>
      </c>
      <c r="B165" s="242" t="s">
        <v>5</v>
      </c>
      <c r="C165" s="242" t="s">
        <v>333</v>
      </c>
      <c r="D165" s="242" t="s">
        <v>647</v>
      </c>
      <c r="E165" s="242" t="s">
        <v>324</v>
      </c>
      <c r="F165" s="243">
        <v>1608556.25</v>
      </c>
      <c r="G165" s="243">
        <v>1597949.57</v>
      </c>
      <c r="H165" s="243">
        <f t="shared" si="5"/>
        <v>99.340608698017249</v>
      </c>
      <c r="I165" s="123" t="str">
        <f t="shared" si="4"/>
        <v>01048020076040121</v>
      </c>
    </row>
    <row r="166" spans="1:9" ht="38.25">
      <c r="A166" s="241" t="s">
        <v>325</v>
      </c>
      <c r="B166" s="242" t="s">
        <v>5</v>
      </c>
      <c r="C166" s="242" t="s">
        <v>333</v>
      </c>
      <c r="D166" s="242" t="s">
        <v>647</v>
      </c>
      <c r="E166" s="242" t="s">
        <v>326</v>
      </c>
      <c r="F166" s="243">
        <v>16050</v>
      </c>
      <c r="G166" s="243">
        <v>16050</v>
      </c>
      <c r="H166" s="243">
        <f t="shared" si="5"/>
        <v>100</v>
      </c>
      <c r="I166" s="123" t="str">
        <f t="shared" si="4"/>
        <v>01048020076040122</v>
      </c>
    </row>
    <row r="167" spans="1:9" ht="38.25">
      <c r="A167" s="241" t="s">
        <v>1054</v>
      </c>
      <c r="B167" s="242" t="s">
        <v>5</v>
      </c>
      <c r="C167" s="242" t="s">
        <v>333</v>
      </c>
      <c r="D167" s="242" t="s">
        <v>647</v>
      </c>
      <c r="E167" s="242" t="s">
        <v>1055</v>
      </c>
      <c r="F167" s="243">
        <v>485781</v>
      </c>
      <c r="G167" s="243">
        <v>468664.79</v>
      </c>
      <c r="H167" s="243">
        <f t="shared" si="5"/>
        <v>96.476558366836088</v>
      </c>
      <c r="I167" s="123" t="str">
        <f t="shared" si="4"/>
        <v>01048020076040129</v>
      </c>
    </row>
    <row r="168" spans="1:9" ht="25.5">
      <c r="A168" s="241" t="s">
        <v>1319</v>
      </c>
      <c r="B168" s="242" t="s">
        <v>5</v>
      </c>
      <c r="C168" s="242" t="s">
        <v>333</v>
      </c>
      <c r="D168" s="242" t="s">
        <v>647</v>
      </c>
      <c r="E168" s="242" t="s">
        <v>1320</v>
      </c>
      <c r="F168" s="243">
        <v>498612.75</v>
      </c>
      <c r="G168" s="243">
        <v>498612.75</v>
      </c>
      <c r="H168" s="243">
        <f t="shared" si="5"/>
        <v>100</v>
      </c>
      <c r="I168" s="123" t="str">
        <f t="shared" si="4"/>
        <v>01048020076040200</v>
      </c>
    </row>
    <row r="169" spans="1:9" ht="25.5">
      <c r="A169" s="241" t="s">
        <v>1196</v>
      </c>
      <c r="B169" s="242" t="s">
        <v>5</v>
      </c>
      <c r="C169" s="242" t="s">
        <v>333</v>
      </c>
      <c r="D169" s="242" t="s">
        <v>647</v>
      </c>
      <c r="E169" s="242" t="s">
        <v>1197</v>
      </c>
      <c r="F169" s="243">
        <v>498612.75</v>
      </c>
      <c r="G169" s="243">
        <v>498612.75</v>
      </c>
      <c r="H169" s="243">
        <f t="shared" si="5"/>
        <v>100</v>
      </c>
      <c r="I169" s="123" t="str">
        <f t="shared" si="4"/>
        <v>01048020076040240</v>
      </c>
    </row>
    <row r="170" spans="1:9">
      <c r="A170" s="241" t="s">
        <v>1223</v>
      </c>
      <c r="B170" s="242" t="s">
        <v>5</v>
      </c>
      <c r="C170" s="242" t="s">
        <v>333</v>
      </c>
      <c r="D170" s="242" t="s">
        <v>647</v>
      </c>
      <c r="E170" s="242" t="s">
        <v>329</v>
      </c>
      <c r="F170" s="243">
        <v>498612.75</v>
      </c>
      <c r="G170" s="243">
        <v>498612.75</v>
      </c>
      <c r="H170" s="243">
        <f t="shared" si="5"/>
        <v>100</v>
      </c>
      <c r="I170" s="123" t="str">
        <f t="shared" si="4"/>
        <v>01048020076040244</v>
      </c>
    </row>
    <row r="171" spans="1:9" ht="191.25">
      <c r="A171" s="241" t="s">
        <v>498</v>
      </c>
      <c r="B171" s="242" t="s">
        <v>5</v>
      </c>
      <c r="C171" s="242" t="s">
        <v>333</v>
      </c>
      <c r="D171" s="242" t="s">
        <v>650</v>
      </c>
      <c r="E171" s="242"/>
      <c r="F171" s="243">
        <v>891615</v>
      </c>
      <c r="G171" s="243">
        <v>891615</v>
      </c>
      <c r="H171" s="243">
        <f t="shared" si="5"/>
        <v>100</v>
      </c>
      <c r="I171" s="123" t="str">
        <f t="shared" si="4"/>
        <v>010480200Ч0010</v>
      </c>
    </row>
    <row r="172" spans="1:9" ht="63.75">
      <c r="A172" s="241" t="s">
        <v>1318</v>
      </c>
      <c r="B172" s="242" t="s">
        <v>5</v>
      </c>
      <c r="C172" s="242" t="s">
        <v>333</v>
      </c>
      <c r="D172" s="242" t="s">
        <v>650</v>
      </c>
      <c r="E172" s="242" t="s">
        <v>273</v>
      </c>
      <c r="F172" s="243">
        <v>891615</v>
      </c>
      <c r="G172" s="243">
        <v>891615</v>
      </c>
      <c r="H172" s="243">
        <f t="shared" si="5"/>
        <v>100</v>
      </c>
      <c r="I172" s="123" t="str">
        <f t="shared" si="4"/>
        <v>010480200Ч0010100</v>
      </c>
    </row>
    <row r="173" spans="1:9" ht="25.5">
      <c r="A173" s="241" t="s">
        <v>1203</v>
      </c>
      <c r="B173" s="242" t="s">
        <v>5</v>
      </c>
      <c r="C173" s="242" t="s">
        <v>333</v>
      </c>
      <c r="D173" s="242" t="s">
        <v>650</v>
      </c>
      <c r="E173" s="242" t="s">
        <v>28</v>
      </c>
      <c r="F173" s="243">
        <v>891615</v>
      </c>
      <c r="G173" s="243">
        <v>891615</v>
      </c>
      <c r="H173" s="243">
        <f t="shared" si="5"/>
        <v>100</v>
      </c>
      <c r="I173" s="123" t="str">
        <f t="shared" si="4"/>
        <v>010480200Ч0010120</v>
      </c>
    </row>
    <row r="174" spans="1:9" ht="25.5">
      <c r="A174" s="241" t="s">
        <v>953</v>
      </c>
      <c r="B174" s="242" t="s">
        <v>5</v>
      </c>
      <c r="C174" s="242" t="s">
        <v>333</v>
      </c>
      <c r="D174" s="242" t="s">
        <v>650</v>
      </c>
      <c r="E174" s="242" t="s">
        <v>324</v>
      </c>
      <c r="F174" s="243">
        <v>684804</v>
      </c>
      <c r="G174" s="243">
        <v>684804</v>
      </c>
      <c r="H174" s="243">
        <f t="shared" si="5"/>
        <v>100</v>
      </c>
      <c r="I174" s="123" t="str">
        <f t="shared" si="4"/>
        <v>010480200Ч0010121</v>
      </c>
    </row>
    <row r="175" spans="1:9" ht="38.25">
      <c r="A175" s="241" t="s">
        <v>1054</v>
      </c>
      <c r="B175" s="242" t="s">
        <v>5</v>
      </c>
      <c r="C175" s="242" t="s">
        <v>333</v>
      </c>
      <c r="D175" s="242" t="s">
        <v>650</v>
      </c>
      <c r="E175" s="242" t="s">
        <v>1055</v>
      </c>
      <c r="F175" s="243">
        <v>206811</v>
      </c>
      <c r="G175" s="243">
        <v>206811</v>
      </c>
      <c r="H175" s="243">
        <f t="shared" si="5"/>
        <v>100</v>
      </c>
      <c r="I175" s="123" t="str">
        <f t="shared" si="4"/>
        <v>010480200Ч0010129</v>
      </c>
    </row>
    <row r="176" spans="1:9" ht="25.5">
      <c r="A176" s="241" t="s">
        <v>601</v>
      </c>
      <c r="B176" s="242" t="s">
        <v>5</v>
      </c>
      <c r="C176" s="242" t="s">
        <v>333</v>
      </c>
      <c r="D176" s="242" t="s">
        <v>1011</v>
      </c>
      <c r="E176" s="242"/>
      <c r="F176" s="243">
        <v>1037507.56</v>
      </c>
      <c r="G176" s="243">
        <v>1037507.56</v>
      </c>
      <c r="H176" s="243">
        <f t="shared" si="5"/>
        <v>100</v>
      </c>
      <c r="I176" s="123" t="str">
        <f t="shared" si="4"/>
        <v>01049000000000</v>
      </c>
    </row>
    <row r="177" spans="1:9" ht="25.5">
      <c r="A177" s="241" t="s">
        <v>431</v>
      </c>
      <c r="B177" s="242" t="s">
        <v>5</v>
      </c>
      <c r="C177" s="242" t="s">
        <v>333</v>
      </c>
      <c r="D177" s="242" t="s">
        <v>1015</v>
      </c>
      <c r="E177" s="242"/>
      <c r="F177" s="243">
        <v>1037507.56</v>
      </c>
      <c r="G177" s="243">
        <v>1037507.56</v>
      </c>
      <c r="H177" s="243">
        <f t="shared" si="5"/>
        <v>100</v>
      </c>
      <c r="I177" s="123" t="str">
        <f t="shared" si="4"/>
        <v>01049090000000</v>
      </c>
    </row>
    <row r="178" spans="1:9" ht="25.5">
      <c r="A178" s="241" t="s">
        <v>431</v>
      </c>
      <c r="B178" s="242" t="s">
        <v>5</v>
      </c>
      <c r="C178" s="242" t="s">
        <v>333</v>
      </c>
      <c r="D178" s="242" t="s">
        <v>795</v>
      </c>
      <c r="E178" s="242"/>
      <c r="F178" s="243">
        <v>858825.07</v>
      </c>
      <c r="G178" s="243">
        <v>858825.07</v>
      </c>
      <c r="H178" s="243">
        <f t="shared" si="5"/>
        <v>100</v>
      </c>
      <c r="I178" s="123" t="str">
        <f t="shared" si="4"/>
        <v>01049090080000</v>
      </c>
    </row>
    <row r="179" spans="1:9">
      <c r="A179" s="241" t="s">
        <v>1321</v>
      </c>
      <c r="B179" s="242" t="s">
        <v>5</v>
      </c>
      <c r="C179" s="242" t="s">
        <v>333</v>
      </c>
      <c r="D179" s="242" t="s">
        <v>795</v>
      </c>
      <c r="E179" s="242" t="s">
        <v>1322</v>
      </c>
      <c r="F179" s="243">
        <v>858825.07</v>
      </c>
      <c r="G179" s="243">
        <v>858825.07</v>
      </c>
      <c r="H179" s="243">
        <f t="shared" si="5"/>
        <v>100</v>
      </c>
      <c r="I179" s="123" t="str">
        <f t="shared" si="4"/>
        <v>01049090080000800</v>
      </c>
    </row>
    <row r="180" spans="1:9">
      <c r="A180" s="241" t="s">
        <v>1201</v>
      </c>
      <c r="B180" s="242" t="s">
        <v>5</v>
      </c>
      <c r="C180" s="242" t="s">
        <v>333</v>
      </c>
      <c r="D180" s="242" t="s">
        <v>795</v>
      </c>
      <c r="E180" s="242" t="s">
        <v>1202</v>
      </c>
      <c r="F180" s="243">
        <v>858825.07</v>
      </c>
      <c r="G180" s="243">
        <v>858825.07</v>
      </c>
      <c r="H180" s="243">
        <f t="shared" si="5"/>
        <v>100</v>
      </c>
      <c r="I180" s="123" t="str">
        <f t="shared" si="4"/>
        <v>01049090080000850</v>
      </c>
    </row>
    <row r="181" spans="1:9">
      <c r="A181" s="241" t="s">
        <v>1057</v>
      </c>
      <c r="B181" s="242" t="s">
        <v>5</v>
      </c>
      <c r="C181" s="242" t="s">
        <v>333</v>
      </c>
      <c r="D181" s="242" t="s">
        <v>795</v>
      </c>
      <c r="E181" s="242" t="s">
        <v>1058</v>
      </c>
      <c r="F181" s="243">
        <v>858825.07</v>
      </c>
      <c r="G181" s="243">
        <v>858825.07</v>
      </c>
      <c r="H181" s="243">
        <f t="shared" si="5"/>
        <v>100</v>
      </c>
      <c r="I181" s="123" t="str">
        <f t="shared" si="4"/>
        <v>01049090080000853</v>
      </c>
    </row>
    <row r="182" spans="1:9" ht="38.25">
      <c r="A182" s="241" t="s">
        <v>2037</v>
      </c>
      <c r="B182" s="242" t="s">
        <v>5</v>
      </c>
      <c r="C182" s="242" t="s">
        <v>333</v>
      </c>
      <c r="D182" s="242" t="s">
        <v>2038</v>
      </c>
      <c r="E182" s="242"/>
      <c r="F182" s="243">
        <v>178682.49</v>
      </c>
      <c r="G182" s="243">
        <v>178682.49</v>
      </c>
      <c r="H182" s="243">
        <f t="shared" si="5"/>
        <v>100</v>
      </c>
      <c r="I182" s="123" t="str">
        <f t="shared" si="4"/>
        <v>01049090080010</v>
      </c>
    </row>
    <row r="183" spans="1:9">
      <c r="A183" s="241" t="s">
        <v>1321</v>
      </c>
      <c r="B183" s="242" t="s">
        <v>5</v>
      </c>
      <c r="C183" s="242" t="s">
        <v>333</v>
      </c>
      <c r="D183" s="242" t="s">
        <v>2038</v>
      </c>
      <c r="E183" s="242" t="s">
        <v>1322</v>
      </c>
      <c r="F183" s="243">
        <v>178682.49</v>
      </c>
      <c r="G183" s="243">
        <v>178682.49</v>
      </c>
      <c r="H183" s="243">
        <f t="shared" si="5"/>
        <v>100</v>
      </c>
      <c r="I183" s="123" t="str">
        <f t="shared" si="4"/>
        <v>01049090080010800</v>
      </c>
    </row>
    <row r="184" spans="1:9">
      <c r="A184" s="241" t="s">
        <v>1210</v>
      </c>
      <c r="B184" s="242" t="s">
        <v>5</v>
      </c>
      <c r="C184" s="242" t="s">
        <v>333</v>
      </c>
      <c r="D184" s="242" t="s">
        <v>2038</v>
      </c>
      <c r="E184" s="242" t="s">
        <v>201</v>
      </c>
      <c r="F184" s="243">
        <v>178682.49</v>
      </c>
      <c r="G184" s="243">
        <v>178682.49</v>
      </c>
      <c r="H184" s="243">
        <f t="shared" si="5"/>
        <v>100</v>
      </c>
      <c r="I184" s="123" t="str">
        <f t="shared" si="4"/>
        <v>01049090080010830</v>
      </c>
    </row>
    <row r="185" spans="1:9" ht="38.25">
      <c r="A185" s="241" t="s">
        <v>1162</v>
      </c>
      <c r="B185" s="242" t="s">
        <v>5</v>
      </c>
      <c r="C185" s="242" t="s">
        <v>333</v>
      </c>
      <c r="D185" s="242" t="s">
        <v>2038</v>
      </c>
      <c r="E185" s="242" t="s">
        <v>432</v>
      </c>
      <c r="F185" s="243">
        <v>178682.49</v>
      </c>
      <c r="G185" s="243">
        <v>178682.49</v>
      </c>
      <c r="H185" s="243">
        <f t="shared" si="5"/>
        <v>100</v>
      </c>
      <c r="I185" s="123" t="str">
        <f t="shared" si="4"/>
        <v>01049090080010831</v>
      </c>
    </row>
    <row r="186" spans="1:9">
      <c r="A186" s="241" t="s">
        <v>1191</v>
      </c>
      <c r="B186" s="242" t="s">
        <v>5</v>
      </c>
      <c r="C186" s="242" t="s">
        <v>1192</v>
      </c>
      <c r="D186" s="242"/>
      <c r="E186" s="242"/>
      <c r="F186" s="243">
        <v>218800</v>
      </c>
      <c r="G186" s="243">
        <v>218215.22</v>
      </c>
      <c r="H186" s="243">
        <f t="shared" si="5"/>
        <v>99.732733089579526</v>
      </c>
      <c r="I186" s="123" t="str">
        <f t="shared" si="4"/>
        <v>0105</v>
      </c>
    </row>
    <row r="187" spans="1:9" ht="25.5">
      <c r="A187" s="241" t="s">
        <v>601</v>
      </c>
      <c r="B187" s="242" t="s">
        <v>5</v>
      </c>
      <c r="C187" s="242" t="s">
        <v>1192</v>
      </c>
      <c r="D187" s="242" t="s">
        <v>1011</v>
      </c>
      <c r="E187" s="242"/>
      <c r="F187" s="243">
        <v>218800</v>
      </c>
      <c r="G187" s="243">
        <v>218215.22</v>
      </c>
      <c r="H187" s="243">
        <f t="shared" si="5"/>
        <v>99.732733089579526</v>
      </c>
      <c r="I187" s="123" t="str">
        <f t="shared" si="4"/>
        <v>01059000000000</v>
      </c>
    </row>
    <row r="188" spans="1:9" ht="63.75">
      <c r="A188" s="241" t="s">
        <v>2039</v>
      </c>
      <c r="B188" s="242" t="s">
        <v>5</v>
      </c>
      <c r="C188" s="242" t="s">
        <v>1192</v>
      </c>
      <c r="D188" s="242" t="s">
        <v>1193</v>
      </c>
      <c r="E188" s="242"/>
      <c r="F188" s="243">
        <v>218800</v>
      </c>
      <c r="G188" s="243">
        <v>218215.22</v>
      </c>
      <c r="H188" s="243">
        <f t="shared" si="5"/>
        <v>99.732733089579526</v>
      </c>
      <c r="I188" s="123" t="str">
        <f t="shared" si="4"/>
        <v>01059040000000</v>
      </c>
    </row>
    <row r="189" spans="1:9" ht="63.75">
      <c r="A189" s="241" t="s">
        <v>2039</v>
      </c>
      <c r="B189" s="242" t="s">
        <v>5</v>
      </c>
      <c r="C189" s="242" t="s">
        <v>1192</v>
      </c>
      <c r="D189" s="242" t="s">
        <v>651</v>
      </c>
      <c r="E189" s="242"/>
      <c r="F189" s="243">
        <v>218800</v>
      </c>
      <c r="G189" s="243">
        <v>218215.22</v>
      </c>
      <c r="H189" s="243">
        <f t="shared" si="5"/>
        <v>99.732733089579526</v>
      </c>
      <c r="I189" s="123" t="str">
        <f t="shared" si="4"/>
        <v>01059040051200</v>
      </c>
    </row>
    <row r="190" spans="1:9" ht="25.5">
      <c r="A190" s="241" t="s">
        <v>1319</v>
      </c>
      <c r="B190" s="242" t="s">
        <v>5</v>
      </c>
      <c r="C190" s="242" t="s">
        <v>1192</v>
      </c>
      <c r="D190" s="242" t="s">
        <v>651</v>
      </c>
      <c r="E190" s="242" t="s">
        <v>1320</v>
      </c>
      <c r="F190" s="243">
        <v>218800</v>
      </c>
      <c r="G190" s="243">
        <v>218215.22</v>
      </c>
      <c r="H190" s="243">
        <f t="shared" si="5"/>
        <v>99.732733089579526</v>
      </c>
      <c r="I190" s="123" t="str">
        <f t="shared" si="4"/>
        <v>01059040051200200</v>
      </c>
    </row>
    <row r="191" spans="1:9" ht="25.5">
      <c r="A191" s="241" t="s">
        <v>1196</v>
      </c>
      <c r="B191" s="242" t="s">
        <v>5</v>
      </c>
      <c r="C191" s="242" t="s">
        <v>1192</v>
      </c>
      <c r="D191" s="242" t="s">
        <v>651</v>
      </c>
      <c r="E191" s="242" t="s">
        <v>1197</v>
      </c>
      <c r="F191" s="243">
        <v>218800</v>
      </c>
      <c r="G191" s="243">
        <v>218215.22</v>
      </c>
      <c r="H191" s="243">
        <f t="shared" si="5"/>
        <v>99.732733089579526</v>
      </c>
      <c r="I191" s="123" t="str">
        <f t="shared" si="4"/>
        <v>01059040051200240</v>
      </c>
    </row>
    <row r="192" spans="1:9">
      <c r="A192" s="241" t="s">
        <v>1223</v>
      </c>
      <c r="B192" s="242" t="s">
        <v>5</v>
      </c>
      <c r="C192" s="242" t="s">
        <v>1192</v>
      </c>
      <c r="D192" s="242" t="s">
        <v>651</v>
      </c>
      <c r="E192" s="242" t="s">
        <v>329</v>
      </c>
      <c r="F192" s="243">
        <v>218800</v>
      </c>
      <c r="G192" s="243">
        <v>218215.22</v>
      </c>
      <c r="H192" s="243">
        <f t="shared" si="5"/>
        <v>99.732733089579526</v>
      </c>
      <c r="I192" s="123" t="str">
        <f t="shared" ref="I192:I245" si="6">CONCATENATE(C192,D192,E192)</f>
        <v>01059040051200244</v>
      </c>
    </row>
    <row r="193" spans="1:9">
      <c r="A193" s="241" t="s">
        <v>217</v>
      </c>
      <c r="B193" s="242" t="s">
        <v>5</v>
      </c>
      <c r="C193" s="242" t="s">
        <v>337</v>
      </c>
      <c r="D193" s="242"/>
      <c r="E193" s="242"/>
      <c r="F193" s="243">
        <v>783393.61</v>
      </c>
      <c r="G193" s="243">
        <v>757793.61</v>
      </c>
      <c r="H193" s="243">
        <f t="shared" si="5"/>
        <v>96.732166349939973</v>
      </c>
      <c r="I193" s="123" t="str">
        <f t="shared" si="6"/>
        <v>0113</v>
      </c>
    </row>
    <row r="194" spans="1:9" ht="51">
      <c r="A194" s="241" t="s">
        <v>1751</v>
      </c>
      <c r="B194" s="242" t="s">
        <v>5</v>
      </c>
      <c r="C194" s="242" t="s">
        <v>337</v>
      </c>
      <c r="D194" s="242" t="s">
        <v>978</v>
      </c>
      <c r="E194" s="242"/>
      <c r="F194" s="243">
        <v>332158.61</v>
      </c>
      <c r="G194" s="243">
        <v>306558.61</v>
      </c>
      <c r="H194" s="243">
        <f t="shared" si="5"/>
        <v>92.292838653196426</v>
      </c>
      <c r="I194" s="123" t="str">
        <f t="shared" si="6"/>
        <v>01130400000000</v>
      </c>
    </row>
    <row r="195" spans="1:9" ht="38.25">
      <c r="A195" s="241" t="s">
        <v>1752</v>
      </c>
      <c r="B195" s="242" t="s">
        <v>5</v>
      </c>
      <c r="C195" s="242" t="s">
        <v>337</v>
      </c>
      <c r="D195" s="242" t="s">
        <v>1163</v>
      </c>
      <c r="E195" s="242"/>
      <c r="F195" s="243">
        <v>332158.61</v>
      </c>
      <c r="G195" s="243">
        <v>306558.61</v>
      </c>
      <c r="H195" s="243">
        <f t="shared" si="5"/>
        <v>92.292838653196426</v>
      </c>
      <c r="I195" s="123" t="str">
        <f t="shared" si="6"/>
        <v>01130430000000</v>
      </c>
    </row>
    <row r="196" spans="1:9" ht="76.5">
      <c r="A196" s="241" t="s">
        <v>1809</v>
      </c>
      <c r="B196" s="242" t="s">
        <v>5</v>
      </c>
      <c r="C196" s="242" t="s">
        <v>337</v>
      </c>
      <c r="D196" s="242" t="s">
        <v>1810</v>
      </c>
      <c r="E196" s="242"/>
      <c r="F196" s="243">
        <v>63170.28</v>
      </c>
      <c r="G196" s="243">
        <v>63170.28</v>
      </c>
      <c r="H196" s="243">
        <f t="shared" si="5"/>
        <v>100</v>
      </c>
      <c r="I196" s="123" t="str">
        <f t="shared" si="6"/>
        <v>01130430080000</v>
      </c>
    </row>
    <row r="197" spans="1:9" ht="25.5">
      <c r="A197" s="241" t="s">
        <v>1319</v>
      </c>
      <c r="B197" s="242" t="s">
        <v>5</v>
      </c>
      <c r="C197" s="242" t="s">
        <v>337</v>
      </c>
      <c r="D197" s="242" t="s">
        <v>1810</v>
      </c>
      <c r="E197" s="242" t="s">
        <v>1320</v>
      </c>
      <c r="F197" s="243">
        <v>63170.28</v>
      </c>
      <c r="G197" s="243">
        <v>63170.28</v>
      </c>
      <c r="H197" s="243">
        <f t="shared" si="5"/>
        <v>100</v>
      </c>
      <c r="I197" s="123" t="str">
        <f t="shared" si="6"/>
        <v>01130430080000200</v>
      </c>
    </row>
    <row r="198" spans="1:9" ht="25.5">
      <c r="A198" s="241" t="s">
        <v>1196</v>
      </c>
      <c r="B198" s="242" t="s">
        <v>5</v>
      </c>
      <c r="C198" s="242" t="s">
        <v>337</v>
      </c>
      <c r="D198" s="242" t="s">
        <v>1810</v>
      </c>
      <c r="E198" s="242" t="s">
        <v>1197</v>
      </c>
      <c r="F198" s="243">
        <v>63170.28</v>
      </c>
      <c r="G198" s="243">
        <v>63170.28</v>
      </c>
      <c r="H198" s="243">
        <f t="shared" si="5"/>
        <v>100</v>
      </c>
      <c r="I198" s="123" t="str">
        <f t="shared" si="6"/>
        <v>01130430080000240</v>
      </c>
    </row>
    <row r="199" spans="1:9">
      <c r="A199" s="241" t="s">
        <v>1223</v>
      </c>
      <c r="B199" s="242" t="s">
        <v>5</v>
      </c>
      <c r="C199" s="242" t="s">
        <v>337</v>
      </c>
      <c r="D199" s="242" t="s">
        <v>1810</v>
      </c>
      <c r="E199" s="242" t="s">
        <v>329</v>
      </c>
      <c r="F199" s="243">
        <v>63170.28</v>
      </c>
      <c r="G199" s="243">
        <v>63170.28</v>
      </c>
      <c r="H199" s="243">
        <f t="shared" ref="H199:H261" si="7">G199/F199*100</f>
        <v>100</v>
      </c>
      <c r="I199" s="123" t="str">
        <f t="shared" si="6"/>
        <v>01130430080000244</v>
      </c>
    </row>
    <row r="200" spans="1:9" ht="89.25">
      <c r="A200" s="241" t="s">
        <v>1753</v>
      </c>
      <c r="B200" s="242" t="s">
        <v>5</v>
      </c>
      <c r="C200" s="242" t="s">
        <v>337</v>
      </c>
      <c r="D200" s="242" t="s">
        <v>1701</v>
      </c>
      <c r="E200" s="242"/>
      <c r="F200" s="243">
        <v>268988.33</v>
      </c>
      <c r="G200" s="243">
        <v>243388.33</v>
      </c>
      <c r="H200" s="243">
        <f t="shared" si="7"/>
        <v>90.482858494269976</v>
      </c>
      <c r="I200" s="123" t="str">
        <f t="shared" si="6"/>
        <v>0113043008Ф000</v>
      </c>
    </row>
    <row r="201" spans="1:9" ht="25.5">
      <c r="A201" s="241" t="s">
        <v>1319</v>
      </c>
      <c r="B201" s="242" t="s">
        <v>5</v>
      </c>
      <c r="C201" s="242" t="s">
        <v>337</v>
      </c>
      <c r="D201" s="242" t="s">
        <v>1701</v>
      </c>
      <c r="E201" s="242" t="s">
        <v>1320</v>
      </c>
      <c r="F201" s="243">
        <v>268988.33</v>
      </c>
      <c r="G201" s="243">
        <v>243388.33</v>
      </c>
      <c r="H201" s="243">
        <f t="shared" si="7"/>
        <v>90.482858494269976</v>
      </c>
      <c r="I201" s="123" t="str">
        <f t="shared" si="6"/>
        <v>0113043008Ф000200</v>
      </c>
    </row>
    <row r="202" spans="1:9" ht="25.5">
      <c r="A202" s="241" t="s">
        <v>1196</v>
      </c>
      <c r="B202" s="242" t="s">
        <v>5</v>
      </c>
      <c r="C202" s="242" t="s">
        <v>337</v>
      </c>
      <c r="D202" s="242" t="s">
        <v>1701</v>
      </c>
      <c r="E202" s="242" t="s">
        <v>1197</v>
      </c>
      <c r="F202" s="243">
        <v>268988.33</v>
      </c>
      <c r="G202" s="243">
        <v>243388.33</v>
      </c>
      <c r="H202" s="243">
        <f t="shared" si="7"/>
        <v>90.482858494269976</v>
      </c>
      <c r="I202" s="123" t="str">
        <f t="shared" si="6"/>
        <v>0113043008Ф000240</v>
      </c>
    </row>
    <row r="203" spans="1:9">
      <c r="A203" s="241" t="s">
        <v>1223</v>
      </c>
      <c r="B203" s="242" t="s">
        <v>5</v>
      </c>
      <c r="C203" s="242" t="s">
        <v>337</v>
      </c>
      <c r="D203" s="242" t="s">
        <v>1701</v>
      </c>
      <c r="E203" s="242" t="s">
        <v>329</v>
      </c>
      <c r="F203" s="243">
        <v>268988.33</v>
      </c>
      <c r="G203" s="243">
        <v>243388.33</v>
      </c>
      <c r="H203" s="243">
        <f t="shared" si="7"/>
        <v>90.482858494269976</v>
      </c>
      <c r="I203" s="123" t="str">
        <f t="shared" si="6"/>
        <v>0113043008Ф000244</v>
      </c>
    </row>
    <row r="204" spans="1:9" ht="25.5">
      <c r="A204" s="241" t="s">
        <v>599</v>
      </c>
      <c r="B204" s="242" t="s">
        <v>5</v>
      </c>
      <c r="C204" s="242" t="s">
        <v>337</v>
      </c>
      <c r="D204" s="242" t="s">
        <v>1006</v>
      </c>
      <c r="E204" s="242"/>
      <c r="F204" s="243">
        <v>391235</v>
      </c>
      <c r="G204" s="243">
        <v>391235</v>
      </c>
      <c r="H204" s="243">
        <f t="shared" si="7"/>
        <v>100</v>
      </c>
      <c r="I204" s="123" t="str">
        <f t="shared" si="6"/>
        <v>01138000000000</v>
      </c>
    </row>
    <row r="205" spans="1:9" ht="38.25">
      <c r="A205" s="241" t="s">
        <v>600</v>
      </c>
      <c r="B205" s="242" t="s">
        <v>5</v>
      </c>
      <c r="C205" s="242" t="s">
        <v>337</v>
      </c>
      <c r="D205" s="242" t="s">
        <v>1008</v>
      </c>
      <c r="E205" s="242"/>
      <c r="F205" s="243">
        <v>391235</v>
      </c>
      <c r="G205" s="243">
        <v>391235</v>
      </c>
      <c r="H205" s="243">
        <f t="shared" si="7"/>
        <v>100</v>
      </c>
      <c r="I205" s="123" t="str">
        <f t="shared" si="6"/>
        <v>01138020000000</v>
      </c>
    </row>
    <row r="206" spans="1:9" ht="63.75">
      <c r="A206" s="241" t="s">
        <v>542</v>
      </c>
      <c r="B206" s="242" t="s">
        <v>5</v>
      </c>
      <c r="C206" s="242" t="s">
        <v>337</v>
      </c>
      <c r="D206" s="242" t="s">
        <v>653</v>
      </c>
      <c r="E206" s="242"/>
      <c r="F206" s="243">
        <v>122500</v>
      </c>
      <c r="G206" s="243">
        <v>122500</v>
      </c>
      <c r="H206" s="243">
        <f t="shared" si="7"/>
        <v>100</v>
      </c>
      <c r="I206" s="123" t="str">
        <f t="shared" si="6"/>
        <v>01138020074290</v>
      </c>
    </row>
    <row r="207" spans="1:9" ht="63.75">
      <c r="A207" s="241" t="s">
        <v>1318</v>
      </c>
      <c r="B207" s="242" t="s">
        <v>5</v>
      </c>
      <c r="C207" s="242" t="s">
        <v>337</v>
      </c>
      <c r="D207" s="242" t="s">
        <v>653</v>
      </c>
      <c r="E207" s="242" t="s">
        <v>273</v>
      </c>
      <c r="F207" s="243">
        <v>119200</v>
      </c>
      <c r="G207" s="243">
        <v>119200</v>
      </c>
      <c r="H207" s="243">
        <f t="shared" si="7"/>
        <v>100</v>
      </c>
      <c r="I207" s="123" t="str">
        <f t="shared" si="6"/>
        <v>01138020074290100</v>
      </c>
    </row>
    <row r="208" spans="1:9" ht="25.5">
      <c r="A208" s="241" t="s">
        <v>1203</v>
      </c>
      <c r="B208" s="242" t="s">
        <v>5</v>
      </c>
      <c r="C208" s="242" t="s">
        <v>337</v>
      </c>
      <c r="D208" s="242" t="s">
        <v>653</v>
      </c>
      <c r="E208" s="242" t="s">
        <v>28</v>
      </c>
      <c r="F208" s="243">
        <v>119200</v>
      </c>
      <c r="G208" s="243">
        <v>119200</v>
      </c>
      <c r="H208" s="243">
        <f t="shared" si="7"/>
        <v>100</v>
      </c>
      <c r="I208" s="123" t="str">
        <f t="shared" si="6"/>
        <v>01138020074290120</v>
      </c>
    </row>
    <row r="209" spans="1:9" ht="25.5">
      <c r="A209" s="241" t="s">
        <v>953</v>
      </c>
      <c r="B209" s="242" t="s">
        <v>5</v>
      </c>
      <c r="C209" s="242" t="s">
        <v>337</v>
      </c>
      <c r="D209" s="242" t="s">
        <v>653</v>
      </c>
      <c r="E209" s="242" t="s">
        <v>324</v>
      </c>
      <c r="F209" s="243">
        <v>91564</v>
      </c>
      <c r="G209" s="243">
        <v>91564</v>
      </c>
      <c r="H209" s="243">
        <f t="shared" si="7"/>
        <v>100</v>
      </c>
      <c r="I209" s="123" t="str">
        <f t="shared" si="6"/>
        <v>01138020074290121</v>
      </c>
    </row>
    <row r="210" spans="1:9" ht="38.25">
      <c r="A210" s="241" t="s">
        <v>1054</v>
      </c>
      <c r="B210" s="242" t="s">
        <v>5</v>
      </c>
      <c r="C210" s="242" t="s">
        <v>337</v>
      </c>
      <c r="D210" s="242" t="s">
        <v>653</v>
      </c>
      <c r="E210" s="242" t="s">
        <v>1055</v>
      </c>
      <c r="F210" s="243">
        <v>27636</v>
      </c>
      <c r="G210" s="243">
        <v>27636</v>
      </c>
      <c r="H210" s="243">
        <f t="shared" si="7"/>
        <v>100</v>
      </c>
      <c r="I210" s="123" t="str">
        <f t="shared" si="6"/>
        <v>01138020074290129</v>
      </c>
    </row>
    <row r="211" spans="1:9" ht="25.5">
      <c r="A211" s="241" t="s">
        <v>1319</v>
      </c>
      <c r="B211" s="242" t="s">
        <v>5</v>
      </c>
      <c r="C211" s="242" t="s">
        <v>337</v>
      </c>
      <c r="D211" s="242" t="s">
        <v>653</v>
      </c>
      <c r="E211" s="242" t="s">
        <v>1320</v>
      </c>
      <c r="F211" s="243">
        <v>3300</v>
      </c>
      <c r="G211" s="243">
        <v>3300</v>
      </c>
      <c r="H211" s="243">
        <f t="shared" si="7"/>
        <v>100</v>
      </c>
      <c r="I211" s="123" t="str">
        <f t="shared" si="6"/>
        <v>01138020074290200</v>
      </c>
    </row>
    <row r="212" spans="1:9" ht="25.5">
      <c r="A212" s="241" t="s">
        <v>1196</v>
      </c>
      <c r="B212" s="242" t="s">
        <v>5</v>
      </c>
      <c r="C212" s="242" t="s">
        <v>337</v>
      </c>
      <c r="D212" s="242" t="s">
        <v>653</v>
      </c>
      <c r="E212" s="242" t="s">
        <v>1197</v>
      </c>
      <c r="F212" s="243">
        <v>3300</v>
      </c>
      <c r="G212" s="243">
        <v>3300</v>
      </c>
      <c r="H212" s="243">
        <f t="shared" si="7"/>
        <v>100</v>
      </c>
      <c r="I212" s="123" t="str">
        <f t="shared" si="6"/>
        <v>01138020074290240</v>
      </c>
    </row>
    <row r="213" spans="1:9">
      <c r="A213" s="241" t="s">
        <v>1223</v>
      </c>
      <c r="B213" s="242" t="s">
        <v>5</v>
      </c>
      <c r="C213" s="242" t="s">
        <v>337</v>
      </c>
      <c r="D213" s="242" t="s">
        <v>653</v>
      </c>
      <c r="E213" s="242" t="s">
        <v>329</v>
      </c>
      <c r="F213" s="243">
        <v>3300</v>
      </c>
      <c r="G213" s="243">
        <v>3300</v>
      </c>
      <c r="H213" s="243">
        <f t="shared" si="7"/>
        <v>100</v>
      </c>
      <c r="I213" s="123" t="str">
        <f t="shared" si="6"/>
        <v>01138020074290244</v>
      </c>
    </row>
    <row r="214" spans="1:9" ht="38.25">
      <c r="A214" s="241" t="s">
        <v>338</v>
      </c>
      <c r="B214" s="242" t="s">
        <v>5</v>
      </c>
      <c r="C214" s="242" t="s">
        <v>337</v>
      </c>
      <c r="D214" s="242" t="s">
        <v>654</v>
      </c>
      <c r="E214" s="242"/>
      <c r="F214" s="243">
        <v>148035</v>
      </c>
      <c r="G214" s="243">
        <v>148035</v>
      </c>
      <c r="H214" s="243">
        <f t="shared" si="7"/>
        <v>100</v>
      </c>
      <c r="I214" s="123" t="str">
        <f t="shared" si="6"/>
        <v>01138020075190</v>
      </c>
    </row>
    <row r="215" spans="1:9" ht="63.75">
      <c r="A215" s="241" t="s">
        <v>1318</v>
      </c>
      <c r="B215" s="242" t="s">
        <v>5</v>
      </c>
      <c r="C215" s="242" t="s">
        <v>337</v>
      </c>
      <c r="D215" s="242" t="s">
        <v>654</v>
      </c>
      <c r="E215" s="242" t="s">
        <v>273</v>
      </c>
      <c r="F215" s="243">
        <v>125682</v>
      </c>
      <c r="G215" s="243">
        <v>125682</v>
      </c>
      <c r="H215" s="243">
        <f t="shared" si="7"/>
        <v>100</v>
      </c>
      <c r="I215" s="123" t="str">
        <f t="shared" si="6"/>
        <v>01138020075190100</v>
      </c>
    </row>
    <row r="216" spans="1:9" ht="25.5">
      <c r="A216" s="241" t="s">
        <v>1203</v>
      </c>
      <c r="B216" s="242" t="s">
        <v>5</v>
      </c>
      <c r="C216" s="242" t="s">
        <v>337</v>
      </c>
      <c r="D216" s="242" t="s">
        <v>654</v>
      </c>
      <c r="E216" s="242" t="s">
        <v>28</v>
      </c>
      <c r="F216" s="243">
        <v>125682</v>
      </c>
      <c r="G216" s="243">
        <v>125682</v>
      </c>
      <c r="H216" s="243">
        <f t="shared" si="7"/>
        <v>100</v>
      </c>
      <c r="I216" s="123" t="str">
        <f t="shared" si="6"/>
        <v>01138020075190120</v>
      </c>
    </row>
    <row r="217" spans="1:9" ht="25.5">
      <c r="A217" s="241" t="s">
        <v>953</v>
      </c>
      <c r="B217" s="242" t="s">
        <v>5</v>
      </c>
      <c r="C217" s="242" t="s">
        <v>337</v>
      </c>
      <c r="D217" s="242" t="s">
        <v>654</v>
      </c>
      <c r="E217" s="242" t="s">
        <v>324</v>
      </c>
      <c r="F217" s="243">
        <v>96530</v>
      </c>
      <c r="G217" s="243">
        <v>96530</v>
      </c>
      <c r="H217" s="243">
        <f t="shared" si="7"/>
        <v>100</v>
      </c>
      <c r="I217" s="123" t="str">
        <f t="shared" si="6"/>
        <v>01138020075190121</v>
      </c>
    </row>
    <row r="218" spans="1:9" ht="38.25">
      <c r="A218" s="241" t="s">
        <v>1054</v>
      </c>
      <c r="B218" s="242" t="s">
        <v>5</v>
      </c>
      <c r="C218" s="242" t="s">
        <v>337</v>
      </c>
      <c r="D218" s="242" t="s">
        <v>654</v>
      </c>
      <c r="E218" s="242" t="s">
        <v>1055</v>
      </c>
      <c r="F218" s="243">
        <v>29152</v>
      </c>
      <c r="G218" s="243">
        <v>29152</v>
      </c>
      <c r="H218" s="243">
        <f t="shared" si="7"/>
        <v>100</v>
      </c>
      <c r="I218" s="123" t="str">
        <f t="shared" si="6"/>
        <v>01138020075190129</v>
      </c>
    </row>
    <row r="219" spans="1:9" ht="25.5">
      <c r="A219" s="241" t="s">
        <v>1319</v>
      </c>
      <c r="B219" s="242" t="s">
        <v>5</v>
      </c>
      <c r="C219" s="242" t="s">
        <v>337</v>
      </c>
      <c r="D219" s="242" t="s">
        <v>654</v>
      </c>
      <c r="E219" s="242" t="s">
        <v>1320</v>
      </c>
      <c r="F219" s="243">
        <v>22353</v>
      </c>
      <c r="G219" s="243">
        <v>22353</v>
      </c>
      <c r="H219" s="243">
        <f t="shared" si="7"/>
        <v>100</v>
      </c>
      <c r="I219" s="123" t="str">
        <f t="shared" si="6"/>
        <v>01138020075190200</v>
      </c>
    </row>
    <row r="220" spans="1:9" ht="25.5">
      <c r="A220" s="241" t="s">
        <v>1196</v>
      </c>
      <c r="B220" s="242" t="s">
        <v>5</v>
      </c>
      <c r="C220" s="242" t="s">
        <v>337</v>
      </c>
      <c r="D220" s="242" t="s">
        <v>654</v>
      </c>
      <c r="E220" s="242" t="s">
        <v>1197</v>
      </c>
      <c r="F220" s="243">
        <v>22353</v>
      </c>
      <c r="G220" s="243">
        <v>22353</v>
      </c>
      <c r="H220" s="243">
        <f t="shared" si="7"/>
        <v>100</v>
      </c>
      <c r="I220" s="123" t="str">
        <f t="shared" si="6"/>
        <v>01138020075190240</v>
      </c>
    </row>
    <row r="221" spans="1:9">
      <c r="A221" s="241" t="s">
        <v>1223</v>
      </c>
      <c r="B221" s="242" t="s">
        <v>5</v>
      </c>
      <c r="C221" s="242" t="s">
        <v>337</v>
      </c>
      <c r="D221" s="242" t="s">
        <v>654</v>
      </c>
      <c r="E221" s="242" t="s">
        <v>329</v>
      </c>
      <c r="F221" s="243">
        <v>22353</v>
      </c>
      <c r="G221" s="243">
        <v>22353</v>
      </c>
      <c r="H221" s="243">
        <f t="shared" si="7"/>
        <v>100</v>
      </c>
      <c r="I221" s="123" t="str">
        <f t="shared" si="6"/>
        <v>01138020075190244</v>
      </c>
    </row>
    <row r="222" spans="1:9" ht="127.5">
      <c r="A222" s="241" t="s">
        <v>1838</v>
      </c>
      <c r="B222" s="242" t="s">
        <v>5</v>
      </c>
      <c r="C222" s="242" t="s">
        <v>337</v>
      </c>
      <c r="D222" s="242" t="s">
        <v>1839</v>
      </c>
      <c r="E222" s="242"/>
      <c r="F222" s="243">
        <v>120700</v>
      </c>
      <c r="G222" s="243">
        <v>120700</v>
      </c>
      <c r="H222" s="243">
        <f t="shared" si="7"/>
        <v>100</v>
      </c>
      <c r="I222" s="123" t="str">
        <f t="shared" si="6"/>
        <v>01138020078460</v>
      </c>
    </row>
    <row r="223" spans="1:9" ht="63.75">
      <c r="A223" s="241" t="s">
        <v>1318</v>
      </c>
      <c r="B223" s="242" t="s">
        <v>5</v>
      </c>
      <c r="C223" s="242" t="s">
        <v>337</v>
      </c>
      <c r="D223" s="242" t="s">
        <v>1839</v>
      </c>
      <c r="E223" s="242" t="s">
        <v>273</v>
      </c>
      <c r="F223" s="243">
        <v>117800</v>
      </c>
      <c r="G223" s="243">
        <v>117800</v>
      </c>
      <c r="H223" s="243">
        <f t="shared" si="7"/>
        <v>100</v>
      </c>
      <c r="I223" s="123" t="str">
        <f t="shared" si="6"/>
        <v>01138020078460100</v>
      </c>
    </row>
    <row r="224" spans="1:9" ht="25.5">
      <c r="A224" s="241" t="s">
        <v>1203</v>
      </c>
      <c r="B224" s="242" t="s">
        <v>5</v>
      </c>
      <c r="C224" s="242" t="s">
        <v>337</v>
      </c>
      <c r="D224" s="242" t="s">
        <v>1839</v>
      </c>
      <c r="E224" s="242" t="s">
        <v>28</v>
      </c>
      <c r="F224" s="243">
        <v>117800</v>
      </c>
      <c r="G224" s="243">
        <v>117800</v>
      </c>
      <c r="H224" s="243">
        <f t="shared" si="7"/>
        <v>100</v>
      </c>
      <c r="I224" s="123" t="str">
        <f t="shared" si="6"/>
        <v>01138020078460120</v>
      </c>
    </row>
    <row r="225" spans="1:9" ht="25.5">
      <c r="A225" s="241" t="s">
        <v>953</v>
      </c>
      <c r="B225" s="242" t="s">
        <v>5</v>
      </c>
      <c r="C225" s="242" t="s">
        <v>337</v>
      </c>
      <c r="D225" s="242" t="s">
        <v>1839</v>
      </c>
      <c r="E225" s="242" t="s">
        <v>324</v>
      </c>
      <c r="F225" s="243">
        <v>90476</v>
      </c>
      <c r="G225" s="243">
        <v>90476</v>
      </c>
      <c r="H225" s="243">
        <f t="shared" si="7"/>
        <v>100</v>
      </c>
      <c r="I225" s="123" t="str">
        <f t="shared" si="6"/>
        <v>01138020078460121</v>
      </c>
    </row>
    <row r="226" spans="1:9" ht="38.25">
      <c r="A226" s="241" t="s">
        <v>1054</v>
      </c>
      <c r="B226" s="242" t="s">
        <v>5</v>
      </c>
      <c r="C226" s="242" t="s">
        <v>337</v>
      </c>
      <c r="D226" s="242" t="s">
        <v>1839</v>
      </c>
      <c r="E226" s="242" t="s">
        <v>1055</v>
      </c>
      <c r="F226" s="243">
        <v>27324</v>
      </c>
      <c r="G226" s="243">
        <v>27324</v>
      </c>
      <c r="H226" s="243">
        <f t="shared" si="7"/>
        <v>100</v>
      </c>
      <c r="I226" s="123" t="str">
        <f t="shared" si="6"/>
        <v>01138020078460129</v>
      </c>
    </row>
    <row r="227" spans="1:9" ht="25.5">
      <c r="A227" s="241" t="s">
        <v>1319</v>
      </c>
      <c r="B227" s="242" t="s">
        <v>5</v>
      </c>
      <c r="C227" s="242" t="s">
        <v>337</v>
      </c>
      <c r="D227" s="242" t="s">
        <v>1839</v>
      </c>
      <c r="E227" s="242" t="s">
        <v>1320</v>
      </c>
      <c r="F227" s="243">
        <v>2900</v>
      </c>
      <c r="G227" s="243">
        <v>2900</v>
      </c>
      <c r="H227" s="243">
        <f t="shared" si="7"/>
        <v>100</v>
      </c>
      <c r="I227" s="123" t="str">
        <f t="shared" si="6"/>
        <v>01138020078460200</v>
      </c>
    </row>
    <row r="228" spans="1:9" ht="25.5">
      <c r="A228" s="241" t="s">
        <v>1196</v>
      </c>
      <c r="B228" s="242" t="s">
        <v>5</v>
      </c>
      <c r="C228" s="242" t="s">
        <v>337</v>
      </c>
      <c r="D228" s="242" t="s">
        <v>1839</v>
      </c>
      <c r="E228" s="242" t="s">
        <v>1197</v>
      </c>
      <c r="F228" s="243">
        <v>2900</v>
      </c>
      <c r="G228" s="243">
        <v>2900</v>
      </c>
      <c r="H228" s="243">
        <f t="shared" si="7"/>
        <v>100</v>
      </c>
      <c r="I228" s="123" t="str">
        <f t="shared" si="6"/>
        <v>01138020078460240</v>
      </c>
    </row>
    <row r="229" spans="1:9">
      <c r="A229" s="241" t="s">
        <v>1223</v>
      </c>
      <c r="B229" s="242" t="s">
        <v>5</v>
      </c>
      <c r="C229" s="242" t="s">
        <v>337</v>
      </c>
      <c r="D229" s="242" t="s">
        <v>1839</v>
      </c>
      <c r="E229" s="242" t="s">
        <v>329</v>
      </c>
      <c r="F229" s="243">
        <v>2900</v>
      </c>
      <c r="G229" s="243">
        <v>2900</v>
      </c>
      <c r="H229" s="243">
        <f t="shared" si="7"/>
        <v>100</v>
      </c>
      <c r="I229" s="123" t="str">
        <f t="shared" si="6"/>
        <v>01138020078460244</v>
      </c>
    </row>
    <row r="230" spans="1:9" ht="25.5">
      <c r="A230" s="241" t="s">
        <v>601</v>
      </c>
      <c r="B230" s="242" t="s">
        <v>5</v>
      </c>
      <c r="C230" s="242" t="s">
        <v>337</v>
      </c>
      <c r="D230" s="242" t="s">
        <v>1011</v>
      </c>
      <c r="E230" s="242"/>
      <c r="F230" s="243">
        <v>60000</v>
      </c>
      <c r="G230" s="243">
        <v>60000</v>
      </c>
      <c r="H230" s="243">
        <f t="shared" si="7"/>
        <v>100</v>
      </c>
      <c r="I230" s="123" t="str">
        <f t="shared" si="6"/>
        <v>01139000000000</v>
      </c>
    </row>
    <row r="231" spans="1:9" ht="51">
      <c r="A231" s="241" t="s">
        <v>2040</v>
      </c>
      <c r="B231" s="242" t="s">
        <v>5</v>
      </c>
      <c r="C231" s="242" t="s">
        <v>337</v>
      </c>
      <c r="D231" s="242" t="s">
        <v>1014</v>
      </c>
      <c r="E231" s="242"/>
      <c r="F231" s="243">
        <v>60000</v>
      </c>
      <c r="G231" s="243">
        <v>60000</v>
      </c>
      <c r="H231" s="243">
        <f t="shared" si="7"/>
        <v>100</v>
      </c>
      <c r="I231" s="123" t="str">
        <f t="shared" si="6"/>
        <v>01139060000000</v>
      </c>
    </row>
    <row r="232" spans="1:9" ht="51">
      <c r="A232" s="241" t="s">
        <v>2040</v>
      </c>
      <c r="B232" s="242" t="s">
        <v>5</v>
      </c>
      <c r="C232" s="242" t="s">
        <v>337</v>
      </c>
      <c r="D232" s="242" t="s">
        <v>655</v>
      </c>
      <c r="E232" s="242"/>
      <c r="F232" s="243">
        <v>60000</v>
      </c>
      <c r="G232" s="243">
        <v>60000</v>
      </c>
      <c r="H232" s="243">
        <f t="shared" si="7"/>
        <v>100</v>
      </c>
      <c r="I232" s="123" t="str">
        <f t="shared" si="6"/>
        <v>01139060080000</v>
      </c>
    </row>
    <row r="233" spans="1:9">
      <c r="A233" s="241" t="s">
        <v>1323</v>
      </c>
      <c r="B233" s="242" t="s">
        <v>5</v>
      </c>
      <c r="C233" s="242" t="s">
        <v>337</v>
      </c>
      <c r="D233" s="242" t="s">
        <v>655</v>
      </c>
      <c r="E233" s="242" t="s">
        <v>1324</v>
      </c>
      <c r="F233" s="243">
        <v>60000</v>
      </c>
      <c r="G233" s="243">
        <v>60000</v>
      </c>
      <c r="H233" s="243">
        <f t="shared" si="7"/>
        <v>100</v>
      </c>
      <c r="I233" s="123" t="str">
        <f t="shared" si="6"/>
        <v>01139060080000300</v>
      </c>
    </row>
    <row r="234" spans="1:9" ht="25.5">
      <c r="A234" s="241" t="s">
        <v>339</v>
      </c>
      <c r="B234" s="242" t="s">
        <v>5</v>
      </c>
      <c r="C234" s="242" t="s">
        <v>337</v>
      </c>
      <c r="D234" s="242" t="s">
        <v>655</v>
      </c>
      <c r="E234" s="242" t="s">
        <v>340</v>
      </c>
      <c r="F234" s="243">
        <v>60000</v>
      </c>
      <c r="G234" s="243">
        <v>60000</v>
      </c>
      <c r="H234" s="243">
        <f t="shared" si="7"/>
        <v>100</v>
      </c>
      <c r="I234" s="123" t="str">
        <f t="shared" si="6"/>
        <v>01139060080000330</v>
      </c>
    </row>
    <row r="235" spans="1:9" ht="25.5">
      <c r="A235" s="241" t="s">
        <v>238</v>
      </c>
      <c r="B235" s="242" t="s">
        <v>5</v>
      </c>
      <c r="C235" s="242" t="s">
        <v>1137</v>
      </c>
      <c r="D235" s="242"/>
      <c r="E235" s="242"/>
      <c r="F235" s="243">
        <v>5864739.5300000003</v>
      </c>
      <c r="G235" s="243">
        <v>5125158.87</v>
      </c>
      <c r="H235" s="243">
        <f t="shared" si="7"/>
        <v>87.38936902113366</v>
      </c>
      <c r="I235" s="123" t="str">
        <f t="shared" si="6"/>
        <v>0300</v>
      </c>
    </row>
    <row r="236" spans="1:9" ht="38.25">
      <c r="A236" s="241" t="s">
        <v>1705</v>
      </c>
      <c r="B236" s="242" t="s">
        <v>5</v>
      </c>
      <c r="C236" s="242" t="s">
        <v>345</v>
      </c>
      <c r="D236" s="242"/>
      <c r="E236" s="242"/>
      <c r="F236" s="243">
        <v>5864739.5300000003</v>
      </c>
      <c r="G236" s="243">
        <v>5125158.87</v>
      </c>
      <c r="H236" s="243">
        <f t="shared" si="7"/>
        <v>87.38936902113366</v>
      </c>
      <c r="I236" s="123" t="str">
        <f t="shared" si="6"/>
        <v>0310</v>
      </c>
    </row>
    <row r="237" spans="1:9" ht="51">
      <c r="A237" s="241" t="s">
        <v>1751</v>
      </c>
      <c r="B237" s="242" t="s">
        <v>5</v>
      </c>
      <c r="C237" s="242" t="s">
        <v>345</v>
      </c>
      <c r="D237" s="242" t="s">
        <v>978</v>
      </c>
      <c r="E237" s="242"/>
      <c r="F237" s="243">
        <v>5864739.5300000003</v>
      </c>
      <c r="G237" s="243">
        <v>5125158.87</v>
      </c>
      <c r="H237" s="243">
        <f t="shared" si="7"/>
        <v>87.38936902113366</v>
      </c>
      <c r="I237" s="123" t="str">
        <f t="shared" si="6"/>
        <v>03100400000000</v>
      </c>
    </row>
    <row r="238" spans="1:9" ht="63.75">
      <c r="A238" s="241" t="s">
        <v>457</v>
      </c>
      <c r="B238" s="242" t="s">
        <v>5</v>
      </c>
      <c r="C238" s="242" t="s">
        <v>345</v>
      </c>
      <c r="D238" s="242" t="s">
        <v>979</v>
      </c>
      <c r="E238" s="242"/>
      <c r="F238" s="243">
        <v>5657868.6600000001</v>
      </c>
      <c r="G238" s="243">
        <v>4918288</v>
      </c>
      <c r="H238" s="243">
        <f t="shared" si="7"/>
        <v>86.928281576617579</v>
      </c>
      <c r="I238" s="123" t="str">
        <f t="shared" si="6"/>
        <v>03100410000000</v>
      </c>
    </row>
    <row r="239" spans="1:9" ht="140.25">
      <c r="A239" s="241" t="s">
        <v>2041</v>
      </c>
      <c r="B239" s="242" t="s">
        <v>5</v>
      </c>
      <c r="C239" s="242" t="s">
        <v>345</v>
      </c>
      <c r="D239" s="242" t="s">
        <v>2042</v>
      </c>
      <c r="E239" s="242"/>
      <c r="F239" s="243">
        <v>783105</v>
      </c>
      <c r="G239" s="243">
        <v>783105</v>
      </c>
      <c r="H239" s="243">
        <f t="shared" si="7"/>
        <v>100</v>
      </c>
      <c r="I239" s="123" t="str">
        <f t="shared" si="6"/>
        <v>03100410027242</v>
      </c>
    </row>
    <row r="240" spans="1:9" ht="63.75">
      <c r="A240" s="241" t="s">
        <v>1318</v>
      </c>
      <c r="B240" s="242" t="s">
        <v>5</v>
      </c>
      <c r="C240" s="242" t="s">
        <v>345</v>
      </c>
      <c r="D240" s="242" t="s">
        <v>2042</v>
      </c>
      <c r="E240" s="242" t="s">
        <v>273</v>
      </c>
      <c r="F240" s="243">
        <v>783105</v>
      </c>
      <c r="G240" s="243">
        <v>783105</v>
      </c>
      <c r="H240" s="243">
        <f t="shared" si="7"/>
        <v>100</v>
      </c>
      <c r="I240" s="123" t="str">
        <f t="shared" si="6"/>
        <v>03100410027242100</v>
      </c>
    </row>
    <row r="241" spans="1:9">
      <c r="A241" s="241" t="s">
        <v>1190</v>
      </c>
      <c r="B241" s="242" t="s">
        <v>5</v>
      </c>
      <c r="C241" s="242" t="s">
        <v>345</v>
      </c>
      <c r="D241" s="242" t="s">
        <v>2042</v>
      </c>
      <c r="E241" s="242" t="s">
        <v>133</v>
      </c>
      <c r="F241" s="243">
        <v>783105</v>
      </c>
      <c r="G241" s="243">
        <v>783105</v>
      </c>
      <c r="H241" s="243">
        <f t="shared" si="7"/>
        <v>100</v>
      </c>
      <c r="I241" s="123" t="str">
        <f t="shared" si="6"/>
        <v>03100410027242110</v>
      </c>
    </row>
    <row r="242" spans="1:9">
      <c r="A242" s="241" t="s">
        <v>1138</v>
      </c>
      <c r="B242" s="242" t="s">
        <v>5</v>
      </c>
      <c r="C242" s="242" t="s">
        <v>345</v>
      </c>
      <c r="D242" s="242" t="s">
        <v>2042</v>
      </c>
      <c r="E242" s="242" t="s">
        <v>342</v>
      </c>
      <c r="F242" s="243">
        <v>601463</v>
      </c>
      <c r="G242" s="243">
        <v>601463</v>
      </c>
      <c r="H242" s="243">
        <f t="shared" si="7"/>
        <v>100</v>
      </c>
      <c r="I242" s="123" t="str">
        <f t="shared" si="6"/>
        <v>03100410027242111</v>
      </c>
    </row>
    <row r="243" spans="1:9" ht="38.25">
      <c r="A243" s="241" t="s">
        <v>1139</v>
      </c>
      <c r="B243" s="242" t="s">
        <v>5</v>
      </c>
      <c r="C243" s="242" t="s">
        <v>345</v>
      </c>
      <c r="D243" s="242" t="s">
        <v>2042</v>
      </c>
      <c r="E243" s="242" t="s">
        <v>1056</v>
      </c>
      <c r="F243" s="243">
        <v>181642</v>
      </c>
      <c r="G243" s="243">
        <v>181642</v>
      </c>
      <c r="H243" s="243">
        <f t="shared" si="7"/>
        <v>100</v>
      </c>
      <c r="I243" s="123" t="str">
        <f t="shared" si="6"/>
        <v>03100410027242119</v>
      </c>
    </row>
    <row r="244" spans="1:9" ht="114.75">
      <c r="A244" s="241" t="s">
        <v>341</v>
      </c>
      <c r="B244" s="242" t="s">
        <v>5</v>
      </c>
      <c r="C244" s="242" t="s">
        <v>345</v>
      </c>
      <c r="D244" s="242" t="s">
        <v>656</v>
      </c>
      <c r="E244" s="242"/>
      <c r="F244" s="243">
        <v>4297411.8</v>
      </c>
      <c r="G244" s="243">
        <v>3679879.76</v>
      </c>
      <c r="H244" s="243">
        <f t="shared" si="7"/>
        <v>85.630140448723111</v>
      </c>
      <c r="I244" s="123" t="str">
        <f t="shared" si="6"/>
        <v>03100410040010</v>
      </c>
    </row>
    <row r="245" spans="1:9" ht="63.75">
      <c r="A245" s="241" t="s">
        <v>1318</v>
      </c>
      <c r="B245" s="242" t="s">
        <v>5</v>
      </c>
      <c r="C245" s="242" t="s">
        <v>345</v>
      </c>
      <c r="D245" s="242" t="s">
        <v>656</v>
      </c>
      <c r="E245" s="242" t="s">
        <v>273</v>
      </c>
      <c r="F245" s="243">
        <v>4288272</v>
      </c>
      <c r="G245" s="243">
        <v>3670739.96</v>
      </c>
      <c r="H245" s="243">
        <f t="shared" si="7"/>
        <v>85.599513277142876</v>
      </c>
      <c r="I245" s="123" t="str">
        <f t="shared" si="6"/>
        <v>03100410040010100</v>
      </c>
    </row>
    <row r="246" spans="1:9">
      <c r="A246" s="241" t="s">
        <v>1190</v>
      </c>
      <c r="B246" s="242" t="s">
        <v>5</v>
      </c>
      <c r="C246" s="242" t="s">
        <v>345</v>
      </c>
      <c r="D246" s="242" t="s">
        <v>656</v>
      </c>
      <c r="E246" s="242" t="s">
        <v>133</v>
      </c>
      <c r="F246" s="243">
        <v>4288272</v>
      </c>
      <c r="G246" s="243">
        <v>3670739.96</v>
      </c>
      <c r="H246" s="243">
        <f t="shared" si="7"/>
        <v>85.599513277142876</v>
      </c>
      <c r="I246" s="123" t="str">
        <f t="shared" ref="I246:I309" si="8">CONCATENATE(C246,D246,E246)</f>
        <v>03100410040010110</v>
      </c>
    </row>
    <row r="247" spans="1:9">
      <c r="A247" s="241" t="s">
        <v>1138</v>
      </c>
      <c r="B247" s="242" t="s">
        <v>5</v>
      </c>
      <c r="C247" s="242" t="s">
        <v>345</v>
      </c>
      <c r="D247" s="242" t="s">
        <v>656</v>
      </c>
      <c r="E247" s="242" t="s">
        <v>342</v>
      </c>
      <c r="F247" s="243">
        <v>3293604</v>
      </c>
      <c r="G247" s="243">
        <v>2833927.53</v>
      </c>
      <c r="H247" s="243">
        <f t="shared" si="7"/>
        <v>86.043359493126673</v>
      </c>
      <c r="I247" s="123" t="str">
        <f t="shared" si="8"/>
        <v>03100410040010111</v>
      </c>
    </row>
    <row r="248" spans="1:9" ht="38.25">
      <c r="A248" s="241" t="s">
        <v>1139</v>
      </c>
      <c r="B248" s="242" t="s">
        <v>5</v>
      </c>
      <c r="C248" s="242" t="s">
        <v>345</v>
      </c>
      <c r="D248" s="242" t="s">
        <v>656</v>
      </c>
      <c r="E248" s="242" t="s">
        <v>1056</v>
      </c>
      <c r="F248" s="243">
        <v>994668</v>
      </c>
      <c r="G248" s="243">
        <v>836812.43</v>
      </c>
      <c r="H248" s="243">
        <f t="shared" si="7"/>
        <v>84.129823217395156</v>
      </c>
      <c r="I248" s="123" t="str">
        <f t="shared" si="8"/>
        <v>03100410040010119</v>
      </c>
    </row>
    <row r="249" spans="1:9" ht="25.5">
      <c r="A249" s="241" t="s">
        <v>1319</v>
      </c>
      <c r="B249" s="242" t="s">
        <v>5</v>
      </c>
      <c r="C249" s="242" t="s">
        <v>345</v>
      </c>
      <c r="D249" s="242" t="s">
        <v>656</v>
      </c>
      <c r="E249" s="242" t="s">
        <v>1320</v>
      </c>
      <c r="F249" s="243">
        <v>9139.7999999999993</v>
      </c>
      <c r="G249" s="243">
        <v>9139.7999999999993</v>
      </c>
      <c r="H249" s="243">
        <f t="shared" si="7"/>
        <v>100</v>
      </c>
      <c r="I249" s="123" t="str">
        <f t="shared" si="8"/>
        <v>03100410040010200</v>
      </c>
    </row>
    <row r="250" spans="1:9" ht="25.5">
      <c r="A250" s="241" t="s">
        <v>1196</v>
      </c>
      <c r="B250" s="242" t="s">
        <v>5</v>
      </c>
      <c r="C250" s="242" t="s">
        <v>345</v>
      </c>
      <c r="D250" s="242" t="s">
        <v>656</v>
      </c>
      <c r="E250" s="242" t="s">
        <v>1197</v>
      </c>
      <c r="F250" s="243">
        <v>9139.7999999999993</v>
      </c>
      <c r="G250" s="243">
        <v>9139.7999999999993</v>
      </c>
      <c r="H250" s="243">
        <f t="shared" si="7"/>
        <v>100</v>
      </c>
      <c r="I250" s="123" t="str">
        <f t="shared" si="8"/>
        <v>03100410040010240</v>
      </c>
    </row>
    <row r="251" spans="1:9">
      <c r="A251" s="241" t="s">
        <v>1223</v>
      </c>
      <c r="B251" s="242" t="s">
        <v>5</v>
      </c>
      <c r="C251" s="242" t="s">
        <v>345</v>
      </c>
      <c r="D251" s="242" t="s">
        <v>656</v>
      </c>
      <c r="E251" s="242" t="s">
        <v>329</v>
      </c>
      <c r="F251" s="243">
        <v>9139.7999999999993</v>
      </c>
      <c r="G251" s="243">
        <v>9139.7999999999993</v>
      </c>
      <c r="H251" s="243">
        <f t="shared" si="7"/>
        <v>100</v>
      </c>
      <c r="I251" s="123" t="str">
        <f t="shared" si="8"/>
        <v>03100410040010244</v>
      </c>
    </row>
    <row r="252" spans="1:9" ht="127.5">
      <c r="A252" s="241" t="s">
        <v>1702</v>
      </c>
      <c r="B252" s="242" t="s">
        <v>5</v>
      </c>
      <c r="C252" s="242" t="s">
        <v>345</v>
      </c>
      <c r="D252" s="242" t="s">
        <v>1703</v>
      </c>
      <c r="E252" s="242"/>
      <c r="F252" s="243">
        <v>257028.86</v>
      </c>
      <c r="G252" s="243">
        <v>156768.70000000001</v>
      </c>
      <c r="H252" s="243">
        <f t="shared" si="7"/>
        <v>60.992644950454213</v>
      </c>
      <c r="I252" s="123" t="str">
        <f t="shared" si="8"/>
        <v>0310041004Ф010</v>
      </c>
    </row>
    <row r="253" spans="1:9" ht="25.5">
      <c r="A253" s="241" t="s">
        <v>1319</v>
      </c>
      <c r="B253" s="242" t="s">
        <v>5</v>
      </c>
      <c r="C253" s="242" t="s">
        <v>345</v>
      </c>
      <c r="D253" s="242" t="s">
        <v>1703</v>
      </c>
      <c r="E253" s="242" t="s">
        <v>1320</v>
      </c>
      <c r="F253" s="243">
        <v>257028.86</v>
      </c>
      <c r="G253" s="243">
        <v>156768.70000000001</v>
      </c>
      <c r="H253" s="243">
        <f t="shared" si="7"/>
        <v>60.992644950454213</v>
      </c>
      <c r="I253" s="123" t="str">
        <f t="shared" si="8"/>
        <v>0310041004Ф010200</v>
      </c>
    </row>
    <row r="254" spans="1:9" ht="25.5">
      <c r="A254" s="241" t="s">
        <v>1196</v>
      </c>
      <c r="B254" s="242" t="s">
        <v>5</v>
      </c>
      <c r="C254" s="242" t="s">
        <v>345</v>
      </c>
      <c r="D254" s="242" t="s">
        <v>1703</v>
      </c>
      <c r="E254" s="242" t="s">
        <v>1197</v>
      </c>
      <c r="F254" s="243">
        <v>257028.86</v>
      </c>
      <c r="G254" s="243">
        <v>156768.70000000001</v>
      </c>
      <c r="H254" s="243">
        <f t="shared" si="7"/>
        <v>60.992644950454213</v>
      </c>
      <c r="I254" s="123" t="str">
        <f t="shared" si="8"/>
        <v>0310041004Ф010240</v>
      </c>
    </row>
    <row r="255" spans="1:9">
      <c r="A255" s="241" t="s">
        <v>1223</v>
      </c>
      <c r="B255" s="242" t="s">
        <v>5</v>
      </c>
      <c r="C255" s="242" t="s">
        <v>345</v>
      </c>
      <c r="D255" s="242" t="s">
        <v>1703</v>
      </c>
      <c r="E255" s="242" t="s">
        <v>329</v>
      </c>
      <c r="F255" s="243">
        <v>257028.86</v>
      </c>
      <c r="G255" s="243">
        <v>156768.70000000001</v>
      </c>
      <c r="H255" s="243">
        <f t="shared" si="7"/>
        <v>60.992644950454213</v>
      </c>
      <c r="I255" s="123" t="str">
        <f t="shared" si="8"/>
        <v>0310041004Ф010244</v>
      </c>
    </row>
    <row r="256" spans="1:9" ht="102">
      <c r="A256" s="241" t="s">
        <v>351</v>
      </c>
      <c r="B256" s="242" t="s">
        <v>5</v>
      </c>
      <c r="C256" s="242" t="s">
        <v>345</v>
      </c>
      <c r="D256" s="242" t="s">
        <v>1704</v>
      </c>
      <c r="E256" s="242"/>
      <c r="F256" s="243">
        <v>20188.3</v>
      </c>
      <c r="G256" s="243">
        <v>20188.3</v>
      </c>
      <c r="H256" s="243">
        <f t="shared" si="7"/>
        <v>100</v>
      </c>
      <c r="I256" s="123" t="str">
        <f t="shared" si="8"/>
        <v>03100410080000</v>
      </c>
    </row>
    <row r="257" spans="1:9" ht="25.5">
      <c r="A257" s="241" t="s">
        <v>1319</v>
      </c>
      <c r="B257" s="242" t="s">
        <v>5</v>
      </c>
      <c r="C257" s="242" t="s">
        <v>345</v>
      </c>
      <c r="D257" s="242" t="s">
        <v>1704</v>
      </c>
      <c r="E257" s="242" t="s">
        <v>1320</v>
      </c>
      <c r="F257" s="243">
        <v>20188.3</v>
      </c>
      <c r="G257" s="243">
        <v>20188.3</v>
      </c>
      <c r="H257" s="243">
        <f t="shared" si="7"/>
        <v>100</v>
      </c>
      <c r="I257" s="123" t="str">
        <f t="shared" si="8"/>
        <v>03100410080000200</v>
      </c>
    </row>
    <row r="258" spans="1:9" ht="25.5">
      <c r="A258" s="241" t="s">
        <v>1196</v>
      </c>
      <c r="B258" s="242" t="s">
        <v>5</v>
      </c>
      <c r="C258" s="242" t="s">
        <v>345</v>
      </c>
      <c r="D258" s="242" t="s">
        <v>1704</v>
      </c>
      <c r="E258" s="242" t="s">
        <v>1197</v>
      </c>
      <c r="F258" s="243">
        <v>20188.3</v>
      </c>
      <c r="G258" s="243">
        <v>20188.3</v>
      </c>
      <c r="H258" s="243">
        <f t="shared" si="7"/>
        <v>100</v>
      </c>
      <c r="I258" s="123" t="str">
        <f t="shared" si="8"/>
        <v>03100410080000240</v>
      </c>
    </row>
    <row r="259" spans="1:9">
      <c r="A259" s="241" t="s">
        <v>1223</v>
      </c>
      <c r="B259" s="242" t="s">
        <v>5</v>
      </c>
      <c r="C259" s="242" t="s">
        <v>345</v>
      </c>
      <c r="D259" s="242" t="s">
        <v>1704</v>
      </c>
      <c r="E259" s="242" t="s">
        <v>329</v>
      </c>
      <c r="F259" s="243">
        <v>20188.3</v>
      </c>
      <c r="G259" s="243">
        <v>20188.3</v>
      </c>
      <c r="H259" s="243">
        <f t="shared" si="7"/>
        <v>100</v>
      </c>
      <c r="I259" s="123" t="str">
        <f t="shared" si="8"/>
        <v>03100410080000244</v>
      </c>
    </row>
    <row r="260" spans="1:9" ht="114.75">
      <c r="A260" s="241" t="s">
        <v>2043</v>
      </c>
      <c r="B260" s="242" t="s">
        <v>5</v>
      </c>
      <c r="C260" s="242" t="s">
        <v>345</v>
      </c>
      <c r="D260" s="242" t="s">
        <v>2044</v>
      </c>
      <c r="E260" s="242"/>
      <c r="F260" s="243">
        <v>10000</v>
      </c>
      <c r="G260" s="243">
        <v>10000</v>
      </c>
      <c r="H260" s="243">
        <f t="shared" si="7"/>
        <v>100</v>
      </c>
      <c r="I260" s="123" t="str">
        <f t="shared" si="8"/>
        <v>03100410080090</v>
      </c>
    </row>
    <row r="261" spans="1:9" ht="25.5">
      <c r="A261" s="241" t="s">
        <v>1319</v>
      </c>
      <c r="B261" s="242" t="s">
        <v>5</v>
      </c>
      <c r="C261" s="242" t="s">
        <v>345</v>
      </c>
      <c r="D261" s="242" t="s">
        <v>2044</v>
      </c>
      <c r="E261" s="242" t="s">
        <v>1320</v>
      </c>
      <c r="F261" s="243">
        <v>10000</v>
      </c>
      <c r="G261" s="243">
        <v>10000</v>
      </c>
      <c r="H261" s="243">
        <f t="shared" si="7"/>
        <v>100</v>
      </c>
      <c r="I261" s="123" t="str">
        <f t="shared" si="8"/>
        <v>03100410080090200</v>
      </c>
    </row>
    <row r="262" spans="1:9" ht="25.5">
      <c r="A262" s="241" t="s">
        <v>1196</v>
      </c>
      <c r="B262" s="242" t="s">
        <v>5</v>
      </c>
      <c r="C262" s="242" t="s">
        <v>345</v>
      </c>
      <c r="D262" s="242" t="s">
        <v>2044</v>
      </c>
      <c r="E262" s="242" t="s">
        <v>1197</v>
      </c>
      <c r="F262" s="243">
        <v>10000</v>
      </c>
      <c r="G262" s="243">
        <v>10000</v>
      </c>
      <c r="H262" s="243">
        <f t="shared" ref="H262:H325" si="9">G262/F262*100</f>
        <v>100</v>
      </c>
      <c r="I262" s="123" t="str">
        <f t="shared" si="8"/>
        <v>03100410080090240</v>
      </c>
    </row>
    <row r="263" spans="1:9">
      <c r="A263" s="241" t="s">
        <v>1223</v>
      </c>
      <c r="B263" s="242" t="s">
        <v>5</v>
      </c>
      <c r="C263" s="242" t="s">
        <v>345</v>
      </c>
      <c r="D263" s="242" t="s">
        <v>2044</v>
      </c>
      <c r="E263" s="242" t="s">
        <v>329</v>
      </c>
      <c r="F263" s="243">
        <v>10000</v>
      </c>
      <c r="G263" s="243">
        <v>10000</v>
      </c>
      <c r="H263" s="243">
        <f t="shared" si="9"/>
        <v>100</v>
      </c>
      <c r="I263" s="123" t="str">
        <f t="shared" si="8"/>
        <v>03100410080090244</v>
      </c>
    </row>
    <row r="264" spans="1:9" ht="127.5">
      <c r="A264" s="241" t="s">
        <v>1943</v>
      </c>
      <c r="B264" s="242" t="s">
        <v>5</v>
      </c>
      <c r="C264" s="242" t="s">
        <v>345</v>
      </c>
      <c r="D264" s="242" t="s">
        <v>1944</v>
      </c>
      <c r="E264" s="242"/>
      <c r="F264" s="243">
        <v>269994.56</v>
      </c>
      <c r="G264" s="243">
        <v>248206.1</v>
      </c>
      <c r="H264" s="243">
        <f t="shared" si="9"/>
        <v>91.930037405198092</v>
      </c>
      <c r="I264" s="123" t="str">
        <f t="shared" si="8"/>
        <v>0310041008Ф090</v>
      </c>
    </row>
    <row r="265" spans="1:9" ht="25.5">
      <c r="A265" s="241" t="s">
        <v>1319</v>
      </c>
      <c r="B265" s="242" t="s">
        <v>5</v>
      </c>
      <c r="C265" s="242" t="s">
        <v>345</v>
      </c>
      <c r="D265" s="242" t="s">
        <v>1944</v>
      </c>
      <c r="E265" s="242" t="s">
        <v>1320</v>
      </c>
      <c r="F265" s="243">
        <v>269994.56</v>
      </c>
      <c r="G265" s="243">
        <v>248206.1</v>
      </c>
      <c r="H265" s="243">
        <f t="shared" si="9"/>
        <v>91.930037405198092</v>
      </c>
      <c r="I265" s="123" t="str">
        <f t="shared" si="8"/>
        <v>0310041008Ф090200</v>
      </c>
    </row>
    <row r="266" spans="1:9" ht="25.5">
      <c r="A266" s="241" t="s">
        <v>1196</v>
      </c>
      <c r="B266" s="242" t="s">
        <v>5</v>
      </c>
      <c r="C266" s="242" t="s">
        <v>345</v>
      </c>
      <c r="D266" s="242" t="s">
        <v>1944</v>
      </c>
      <c r="E266" s="242" t="s">
        <v>1197</v>
      </c>
      <c r="F266" s="243">
        <v>269994.56</v>
      </c>
      <c r="G266" s="243">
        <v>248206.1</v>
      </c>
      <c r="H266" s="243">
        <f t="shared" si="9"/>
        <v>91.930037405198092</v>
      </c>
      <c r="I266" s="123" t="str">
        <f t="shared" si="8"/>
        <v>0310041008Ф090240</v>
      </c>
    </row>
    <row r="267" spans="1:9">
      <c r="A267" s="241" t="s">
        <v>1223</v>
      </c>
      <c r="B267" s="242" t="s">
        <v>5</v>
      </c>
      <c r="C267" s="242" t="s">
        <v>345</v>
      </c>
      <c r="D267" s="242" t="s">
        <v>1944</v>
      </c>
      <c r="E267" s="242" t="s">
        <v>329</v>
      </c>
      <c r="F267" s="243">
        <v>269994.56</v>
      </c>
      <c r="G267" s="243">
        <v>248206.1</v>
      </c>
      <c r="H267" s="243">
        <f t="shared" si="9"/>
        <v>91.930037405198092</v>
      </c>
      <c r="I267" s="123" t="str">
        <f t="shared" si="8"/>
        <v>0310041008Ф090244</v>
      </c>
    </row>
    <row r="268" spans="1:9" ht="127.5">
      <c r="A268" s="241" t="s">
        <v>1512</v>
      </c>
      <c r="B268" s="242" t="s">
        <v>5</v>
      </c>
      <c r="C268" s="242" t="s">
        <v>345</v>
      </c>
      <c r="D268" s="242" t="s">
        <v>1341</v>
      </c>
      <c r="E268" s="242"/>
      <c r="F268" s="243">
        <v>20140.14</v>
      </c>
      <c r="G268" s="243">
        <v>20140.14</v>
      </c>
      <c r="H268" s="243">
        <f t="shared" si="9"/>
        <v>100</v>
      </c>
      <c r="I268" s="123" t="str">
        <f t="shared" si="8"/>
        <v>031004100S4130</v>
      </c>
    </row>
    <row r="269" spans="1:9" ht="25.5">
      <c r="A269" s="241" t="s">
        <v>1319</v>
      </c>
      <c r="B269" s="242" t="s">
        <v>5</v>
      </c>
      <c r="C269" s="242" t="s">
        <v>345</v>
      </c>
      <c r="D269" s="242" t="s">
        <v>1341</v>
      </c>
      <c r="E269" s="242" t="s">
        <v>1320</v>
      </c>
      <c r="F269" s="243">
        <v>20140.14</v>
      </c>
      <c r="G269" s="243">
        <v>20140.14</v>
      </c>
      <c r="H269" s="243">
        <f t="shared" si="9"/>
        <v>100</v>
      </c>
      <c r="I269" s="123" t="str">
        <f t="shared" si="8"/>
        <v>031004100S4130200</v>
      </c>
    </row>
    <row r="270" spans="1:9" ht="25.5">
      <c r="A270" s="241" t="s">
        <v>1196</v>
      </c>
      <c r="B270" s="242" t="s">
        <v>5</v>
      </c>
      <c r="C270" s="242" t="s">
        <v>345</v>
      </c>
      <c r="D270" s="242" t="s">
        <v>1341</v>
      </c>
      <c r="E270" s="242" t="s">
        <v>1197</v>
      </c>
      <c r="F270" s="243">
        <v>20140.14</v>
      </c>
      <c r="G270" s="243">
        <v>20140.14</v>
      </c>
      <c r="H270" s="243">
        <f t="shared" si="9"/>
        <v>100</v>
      </c>
      <c r="I270" s="123" t="str">
        <f t="shared" si="8"/>
        <v>031004100S4130240</v>
      </c>
    </row>
    <row r="271" spans="1:9">
      <c r="A271" s="241" t="s">
        <v>1223</v>
      </c>
      <c r="B271" s="242" t="s">
        <v>5</v>
      </c>
      <c r="C271" s="242" t="s">
        <v>345</v>
      </c>
      <c r="D271" s="242" t="s">
        <v>1341</v>
      </c>
      <c r="E271" s="242" t="s">
        <v>329</v>
      </c>
      <c r="F271" s="243">
        <v>20140.14</v>
      </c>
      <c r="G271" s="243">
        <v>20140.14</v>
      </c>
      <c r="H271" s="243">
        <f t="shared" si="9"/>
        <v>100</v>
      </c>
      <c r="I271" s="123" t="str">
        <f t="shared" si="8"/>
        <v>031004100S4130244</v>
      </c>
    </row>
    <row r="272" spans="1:9" ht="25.5">
      <c r="A272" s="241" t="s">
        <v>459</v>
      </c>
      <c r="B272" s="242" t="s">
        <v>5</v>
      </c>
      <c r="C272" s="242" t="s">
        <v>345</v>
      </c>
      <c r="D272" s="242" t="s">
        <v>980</v>
      </c>
      <c r="E272" s="242"/>
      <c r="F272" s="243">
        <v>206870.87</v>
      </c>
      <c r="G272" s="243">
        <v>206870.87</v>
      </c>
      <c r="H272" s="243">
        <f t="shared" si="9"/>
        <v>100</v>
      </c>
      <c r="I272" s="123" t="str">
        <f t="shared" si="8"/>
        <v>03100420000000</v>
      </c>
    </row>
    <row r="273" spans="1:9" ht="89.25">
      <c r="A273" s="241" t="s">
        <v>349</v>
      </c>
      <c r="B273" s="242" t="s">
        <v>5</v>
      </c>
      <c r="C273" s="242" t="s">
        <v>345</v>
      </c>
      <c r="D273" s="242" t="s">
        <v>661</v>
      </c>
      <c r="E273" s="242"/>
      <c r="F273" s="243">
        <v>150000</v>
      </c>
      <c r="G273" s="243">
        <v>150000</v>
      </c>
      <c r="H273" s="243">
        <f t="shared" si="9"/>
        <v>100</v>
      </c>
      <c r="I273" s="123" t="str">
        <f t="shared" si="8"/>
        <v>03100420080020</v>
      </c>
    </row>
    <row r="274" spans="1:9" ht="25.5">
      <c r="A274" s="241" t="s">
        <v>1319</v>
      </c>
      <c r="B274" s="242" t="s">
        <v>5</v>
      </c>
      <c r="C274" s="242" t="s">
        <v>345</v>
      </c>
      <c r="D274" s="242" t="s">
        <v>661</v>
      </c>
      <c r="E274" s="242" t="s">
        <v>1320</v>
      </c>
      <c r="F274" s="243">
        <v>150000</v>
      </c>
      <c r="G274" s="243">
        <v>150000</v>
      </c>
      <c r="H274" s="243">
        <f t="shared" si="9"/>
        <v>100</v>
      </c>
      <c r="I274" s="123" t="str">
        <f t="shared" si="8"/>
        <v>03100420080020200</v>
      </c>
    </row>
    <row r="275" spans="1:9" ht="25.5">
      <c r="A275" s="241" t="s">
        <v>1196</v>
      </c>
      <c r="B275" s="242" t="s">
        <v>5</v>
      </c>
      <c r="C275" s="242" t="s">
        <v>345</v>
      </c>
      <c r="D275" s="242" t="s">
        <v>661</v>
      </c>
      <c r="E275" s="242" t="s">
        <v>1197</v>
      </c>
      <c r="F275" s="243">
        <v>150000</v>
      </c>
      <c r="G275" s="243">
        <v>150000</v>
      </c>
      <c r="H275" s="243">
        <f t="shared" si="9"/>
        <v>100</v>
      </c>
      <c r="I275" s="123" t="str">
        <f t="shared" si="8"/>
        <v>03100420080020240</v>
      </c>
    </row>
    <row r="276" spans="1:9">
      <c r="A276" s="241" t="s">
        <v>1223</v>
      </c>
      <c r="B276" s="242" t="s">
        <v>5</v>
      </c>
      <c r="C276" s="242" t="s">
        <v>345</v>
      </c>
      <c r="D276" s="242" t="s">
        <v>661</v>
      </c>
      <c r="E276" s="242" t="s">
        <v>329</v>
      </c>
      <c r="F276" s="243">
        <v>150000</v>
      </c>
      <c r="G276" s="243">
        <v>150000</v>
      </c>
      <c r="H276" s="243">
        <f t="shared" si="9"/>
        <v>100</v>
      </c>
      <c r="I276" s="123" t="str">
        <f t="shared" si="8"/>
        <v>03100420080020244</v>
      </c>
    </row>
    <row r="277" spans="1:9" ht="89.25">
      <c r="A277" s="241" t="s">
        <v>350</v>
      </c>
      <c r="B277" s="242" t="s">
        <v>5</v>
      </c>
      <c r="C277" s="242" t="s">
        <v>345</v>
      </c>
      <c r="D277" s="242" t="s">
        <v>662</v>
      </c>
      <c r="E277" s="242"/>
      <c r="F277" s="243">
        <v>26119.02</v>
      </c>
      <c r="G277" s="243">
        <v>26119.02</v>
      </c>
      <c r="H277" s="243">
        <f t="shared" si="9"/>
        <v>100</v>
      </c>
      <c r="I277" s="123" t="str">
        <f t="shared" si="8"/>
        <v>03100420080030</v>
      </c>
    </row>
    <row r="278" spans="1:9" ht="25.5">
      <c r="A278" s="241" t="s">
        <v>1319</v>
      </c>
      <c r="B278" s="242" t="s">
        <v>5</v>
      </c>
      <c r="C278" s="242" t="s">
        <v>345</v>
      </c>
      <c r="D278" s="242" t="s">
        <v>662</v>
      </c>
      <c r="E278" s="242" t="s">
        <v>1320</v>
      </c>
      <c r="F278" s="243">
        <v>26119.02</v>
      </c>
      <c r="G278" s="243">
        <v>26119.02</v>
      </c>
      <c r="H278" s="243">
        <f t="shared" si="9"/>
        <v>100</v>
      </c>
      <c r="I278" s="123" t="str">
        <f t="shared" si="8"/>
        <v>03100420080030200</v>
      </c>
    </row>
    <row r="279" spans="1:9" ht="25.5">
      <c r="A279" s="241" t="s">
        <v>1196</v>
      </c>
      <c r="B279" s="242" t="s">
        <v>5</v>
      </c>
      <c r="C279" s="242" t="s">
        <v>345</v>
      </c>
      <c r="D279" s="242" t="s">
        <v>662</v>
      </c>
      <c r="E279" s="242" t="s">
        <v>1197</v>
      </c>
      <c r="F279" s="243">
        <v>26119.02</v>
      </c>
      <c r="G279" s="243">
        <v>26119.02</v>
      </c>
      <c r="H279" s="243">
        <f t="shared" si="9"/>
        <v>100</v>
      </c>
      <c r="I279" s="123" t="str">
        <f t="shared" si="8"/>
        <v>03100420080030240</v>
      </c>
    </row>
    <row r="280" spans="1:9">
      <c r="A280" s="241" t="s">
        <v>1223</v>
      </c>
      <c r="B280" s="242" t="s">
        <v>5</v>
      </c>
      <c r="C280" s="242" t="s">
        <v>345</v>
      </c>
      <c r="D280" s="242" t="s">
        <v>662</v>
      </c>
      <c r="E280" s="242" t="s">
        <v>329</v>
      </c>
      <c r="F280" s="243">
        <v>26119.02</v>
      </c>
      <c r="G280" s="243">
        <v>26119.02</v>
      </c>
      <c r="H280" s="243">
        <f t="shared" si="9"/>
        <v>100</v>
      </c>
      <c r="I280" s="123" t="str">
        <f t="shared" si="8"/>
        <v>03100420080030244</v>
      </c>
    </row>
    <row r="281" spans="1:9" ht="102">
      <c r="A281" s="241" t="s">
        <v>1945</v>
      </c>
      <c r="B281" s="242" t="s">
        <v>5</v>
      </c>
      <c r="C281" s="242" t="s">
        <v>345</v>
      </c>
      <c r="D281" s="242" t="s">
        <v>1946</v>
      </c>
      <c r="E281" s="242"/>
      <c r="F281" s="243">
        <v>21803.85</v>
      </c>
      <c r="G281" s="243">
        <v>21803.85</v>
      </c>
      <c r="H281" s="243">
        <f t="shared" si="9"/>
        <v>100</v>
      </c>
      <c r="I281" s="123" t="str">
        <f t="shared" si="8"/>
        <v>0310042008Ф030</v>
      </c>
    </row>
    <row r="282" spans="1:9" ht="25.5">
      <c r="A282" s="241" t="s">
        <v>1319</v>
      </c>
      <c r="B282" s="242" t="s">
        <v>5</v>
      </c>
      <c r="C282" s="242" t="s">
        <v>345</v>
      </c>
      <c r="D282" s="242" t="s">
        <v>1946</v>
      </c>
      <c r="E282" s="242" t="s">
        <v>1320</v>
      </c>
      <c r="F282" s="243">
        <v>21803.85</v>
      </c>
      <c r="G282" s="243">
        <v>21803.85</v>
      </c>
      <c r="H282" s="243">
        <f t="shared" si="9"/>
        <v>100</v>
      </c>
      <c r="I282" s="123" t="str">
        <f t="shared" si="8"/>
        <v>0310042008Ф030200</v>
      </c>
    </row>
    <row r="283" spans="1:9" ht="25.5">
      <c r="A283" s="241" t="s">
        <v>1196</v>
      </c>
      <c r="B283" s="242" t="s">
        <v>5</v>
      </c>
      <c r="C283" s="242" t="s">
        <v>345</v>
      </c>
      <c r="D283" s="242" t="s">
        <v>1946</v>
      </c>
      <c r="E283" s="242" t="s">
        <v>1197</v>
      </c>
      <c r="F283" s="243">
        <v>21803.85</v>
      </c>
      <c r="G283" s="243">
        <v>21803.85</v>
      </c>
      <c r="H283" s="243">
        <f t="shared" si="9"/>
        <v>100</v>
      </c>
      <c r="I283" s="123" t="str">
        <f t="shared" si="8"/>
        <v>0310042008Ф030240</v>
      </c>
    </row>
    <row r="284" spans="1:9">
      <c r="A284" s="241" t="s">
        <v>1223</v>
      </c>
      <c r="B284" s="242" t="s">
        <v>5</v>
      </c>
      <c r="C284" s="242" t="s">
        <v>345</v>
      </c>
      <c r="D284" s="242" t="s">
        <v>1946</v>
      </c>
      <c r="E284" s="242" t="s">
        <v>329</v>
      </c>
      <c r="F284" s="243">
        <v>21803.85</v>
      </c>
      <c r="G284" s="243">
        <v>21803.85</v>
      </c>
      <c r="H284" s="243">
        <f t="shared" si="9"/>
        <v>100</v>
      </c>
      <c r="I284" s="123" t="str">
        <f t="shared" si="8"/>
        <v>0310042008Ф030244</v>
      </c>
    </row>
    <row r="285" spans="1:9" ht="76.5">
      <c r="A285" s="241" t="s">
        <v>1470</v>
      </c>
      <c r="B285" s="242" t="s">
        <v>5</v>
      </c>
      <c r="C285" s="242" t="s">
        <v>345</v>
      </c>
      <c r="D285" s="242" t="s">
        <v>1471</v>
      </c>
      <c r="E285" s="242"/>
      <c r="F285" s="243">
        <v>8948</v>
      </c>
      <c r="G285" s="243">
        <v>8948</v>
      </c>
      <c r="H285" s="243">
        <f t="shared" si="9"/>
        <v>100</v>
      </c>
      <c r="I285" s="123" t="str">
        <f t="shared" si="8"/>
        <v>031004200S4121</v>
      </c>
    </row>
    <row r="286" spans="1:9" ht="25.5">
      <c r="A286" s="241" t="s">
        <v>1319</v>
      </c>
      <c r="B286" s="242" t="s">
        <v>5</v>
      </c>
      <c r="C286" s="242" t="s">
        <v>345</v>
      </c>
      <c r="D286" s="242" t="s">
        <v>1471</v>
      </c>
      <c r="E286" s="242" t="s">
        <v>1320</v>
      </c>
      <c r="F286" s="243">
        <v>8948</v>
      </c>
      <c r="G286" s="243">
        <v>8948</v>
      </c>
      <c r="H286" s="243">
        <f t="shared" si="9"/>
        <v>100</v>
      </c>
      <c r="I286" s="123" t="str">
        <f t="shared" si="8"/>
        <v>031004200S4121200</v>
      </c>
    </row>
    <row r="287" spans="1:9" ht="25.5">
      <c r="A287" s="241" t="s">
        <v>1196</v>
      </c>
      <c r="B287" s="242" t="s">
        <v>5</v>
      </c>
      <c r="C287" s="242" t="s">
        <v>345</v>
      </c>
      <c r="D287" s="242" t="s">
        <v>1471</v>
      </c>
      <c r="E287" s="242" t="s">
        <v>1197</v>
      </c>
      <c r="F287" s="243">
        <v>8948</v>
      </c>
      <c r="G287" s="243">
        <v>8948</v>
      </c>
      <c r="H287" s="243">
        <f t="shared" si="9"/>
        <v>100</v>
      </c>
      <c r="I287" s="123" t="str">
        <f t="shared" si="8"/>
        <v>031004200S4121240</v>
      </c>
    </row>
    <row r="288" spans="1:9">
      <c r="A288" s="241" t="s">
        <v>1223</v>
      </c>
      <c r="B288" s="242" t="s">
        <v>5</v>
      </c>
      <c r="C288" s="242" t="s">
        <v>345</v>
      </c>
      <c r="D288" s="242" t="s">
        <v>1471</v>
      </c>
      <c r="E288" s="242" t="s">
        <v>329</v>
      </c>
      <c r="F288" s="243">
        <v>8948</v>
      </c>
      <c r="G288" s="243">
        <v>8948</v>
      </c>
      <c r="H288" s="243">
        <f t="shared" si="9"/>
        <v>100</v>
      </c>
      <c r="I288" s="123" t="str">
        <f t="shared" si="8"/>
        <v>031004200S4121244</v>
      </c>
    </row>
    <row r="289" spans="1:9">
      <c r="A289" s="241" t="s">
        <v>183</v>
      </c>
      <c r="B289" s="242" t="s">
        <v>5</v>
      </c>
      <c r="C289" s="242" t="s">
        <v>1140</v>
      </c>
      <c r="D289" s="242"/>
      <c r="E289" s="242"/>
      <c r="F289" s="243">
        <v>90685122.219999999</v>
      </c>
      <c r="G289" s="243">
        <v>89418477.379999995</v>
      </c>
      <c r="H289" s="243">
        <f t="shared" si="9"/>
        <v>98.603249563994467</v>
      </c>
      <c r="I289" s="123" t="str">
        <f t="shared" si="8"/>
        <v>0400</v>
      </c>
    </row>
    <row r="290" spans="1:9">
      <c r="A290" s="241" t="s">
        <v>184</v>
      </c>
      <c r="B290" s="242" t="s">
        <v>5</v>
      </c>
      <c r="C290" s="242" t="s">
        <v>352</v>
      </c>
      <c r="D290" s="242"/>
      <c r="E290" s="242"/>
      <c r="F290" s="243">
        <v>1981117</v>
      </c>
      <c r="G290" s="243">
        <v>1907634.95</v>
      </c>
      <c r="H290" s="243">
        <f t="shared" si="9"/>
        <v>96.290877822965527</v>
      </c>
      <c r="I290" s="123" t="str">
        <f t="shared" si="8"/>
        <v>0405</v>
      </c>
    </row>
    <row r="291" spans="1:9" ht="25.5">
      <c r="A291" s="241" t="s">
        <v>493</v>
      </c>
      <c r="B291" s="242" t="s">
        <v>5</v>
      </c>
      <c r="C291" s="242" t="s">
        <v>352</v>
      </c>
      <c r="D291" s="242" t="s">
        <v>1002</v>
      </c>
      <c r="E291" s="242"/>
      <c r="F291" s="243">
        <v>1981117</v>
      </c>
      <c r="G291" s="243">
        <v>1907634.95</v>
      </c>
      <c r="H291" s="243">
        <f t="shared" si="9"/>
        <v>96.290877822965527</v>
      </c>
      <c r="I291" s="123" t="str">
        <f t="shared" si="8"/>
        <v>04051200000000</v>
      </c>
    </row>
    <row r="292" spans="1:9" ht="25.5">
      <c r="A292" s="241" t="s">
        <v>494</v>
      </c>
      <c r="B292" s="242" t="s">
        <v>5</v>
      </c>
      <c r="C292" s="242" t="s">
        <v>352</v>
      </c>
      <c r="D292" s="242" t="s">
        <v>1003</v>
      </c>
      <c r="E292" s="242"/>
      <c r="F292" s="243">
        <v>10000</v>
      </c>
      <c r="G292" s="243">
        <v>10000</v>
      </c>
      <c r="H292" s="243">
        <f t="shared" si="9"/>
        <v>100</v>
      </c>
      <c r="I292" s="123" t="str">
        <f t="shared" si="8"/>
        <v>04051210000000</v>
      </c>
    </row>
    <row r="293" spans="1:9" ht="51">
      <c r="A293" s="241" t="s">
        <v>1706</v>
      </c>
      <c r="B293" s="242" t="s">
        <v>5</v>
      </c>
      <c r="C293" s="242" t="s">
        <v>352</v>
      </c>
      <c r="D293" s="242" t="s">
        <v>1707</v>
      </c>
      <c r="E293" s="242"/>
      <c r="F293" s="243">
        <v>10000</v>
      </c>
      <c r="G293" s="243">
        <v>10000</v>
      </c>
      <c r="H293" s="243">
        <f t="shared" si="9"/>
        <v>100</v>
      </c>
      <c r="I293" s="123" t="str">
        <f t="shared" si="8"/>
        <v>04051210080000</v>
      </c>
    </row>
    <row r="294" spans="1:9" ht="25.5">
      <c r="A294" s="241" t="s">
        <v>1319</v>
      </c>
      <c r="B294" s="242" t="s">
        <v>5</v>
      </c>
      <c r="C294" s="242" t="s">
        <v>352</v>
      </c>
      <c r="D294" s="242" t="s">
        <v>1707</v>
      </c>
      <c r="E294" s="242" t="s">
        <v>1320</v>
      </c>
      <c r="F294" s="243">
        <v>10000</v>
      </c>
      <c r="G294" s="243">
        <v>10000</v>
      </c>
      <c r="H294" s="243">
        <f t="shared" si="9"/>
        <v>100</v>
      </c>
      <c r="I294" s="123" t="str">
        <f t="shared" si="8"/>
        <v>04051210080000200</v>
      </c>
    </row>
    <row r="295" spans="1:9" ht="25.5">
      <c r="A295" s="241" t="s">
        <v>1196</v>
      </c>
      <c r="B295" s="242" t="s">
        <v>5</v>
      </c>
      <c r="C295" s="242" t="s">
        <v>352</v>
      </c>
      <c r="D295" s="242" t="s">
        <v>1707</v>
      </c>
      <c r="E295" s="242" t="s">
        <v>1197</v>
      </c>
      <c r="F295" s="243">
        <v>10000</v>
      </c>
      <c r="G295" s="243">
        <v>10000</v>
      </c>
      <c r="H295" s="243">
        <f t="shared" si="9"/>
        <v>100</v>
      </c>
      <c r="I295" s="123" t="str">
        <f t="shared" si="8"/>
        <v>04051210080000240</v>
      </c>
    </row>
    <row r="296" spans="1:9">
      <c r="A296" s="241" t="s">
        <v>1223</v>
      </c>
      <c r="B296" s="242" t="s">
        <v>5</v>
      </c>
      <c r="C296" s="242" t="s">
        <v>352</v>
      </c>
      <c r="D296" s="242" t="s">
        <v>1707</v>
      </c>
      <c r="E296" s="242" t="s">
        <v>329</v>
      </c>
      <c r="F296" s="243">
        <v>10000</v>
      </c>
      <c r="G296" s="243">
        <v>10000</v>
      </c>
      <c r="H296" s="243">
        <f t="shared" si="9"/>
        <v>100</v>
      </c>
      <c r="I296" s="123" t="str">
        <f t="shared" si="8"/>
        <v>04051210080000244</v>
      </c>
    </row>
    <row r="297" spans="1:9" ht="25.5">
      <c r="A297" s="241" t="s">
        <v>447</v>
      </c>
      <c r="B297" s="242" t="s">
        <v>5</v>
      </c>
      <c r="C297" s="242" t="s">
        <v>352</v>
      </c>
      <c r="D297" s="242" t="s">
        <v>1005</v>
      </c>
      <c r="E297" s="242"/>
      <c r="F297" s="243">
        <v>1971117</v>
      </c>
      <c r="G297" s="243">
        <v>1897634.95</v>
      </c>
      <c r="H297" s="243">
        <f t="shared" si="9"/>
        <v>96.272060461149692</v>
      </c>
      <c r="I297" s="123" t="str">
        <f t="shared" si="8"/>
        <v>04051230000000</v>
      </c>
    </row>
    <row r="298" spans="1:9" ht="76.5">
      <c r="A298" s="241" t="s">
        <v>355</v>
      </c>
      <c r="B298" s="242" t="s">
        <v>5</v>
      </c>
      <c r="C298" s="242" t="s">
        <v>352</v>
      </c>
      <c r="D298" s="242" t="s">
        <v>669</v>
      </c>
      <c r="E298" s="242"/>
      <c r="F298" s="243">
        <v>1971117</v>
      </c>
      <c r="G298" s="243">
        <v>1897634.95</v>
      </c>
      <c r="H298" s="243">
        <f t="shared" si="9"/>
        <v>96.272060461149692</v>
      </c>
      <c r="I298" s="123" t="str">
        <f t="shared" si="8"/>
        <v>04051230075170</v>
      </c>
    </row>
    <row r="299" spans="1:9" ht="63.75">
      <c r="A299" s="241" t="s">
        <v>1318</v>
      </c>
      <c r="B299" s="242" t="s">
        <v>5</v>
      </c>
      <c r="C299" s="242" t="s">
        <v>352</v>
      </c>
      <c r="D299" s="242" t="s">
        <v>669</v>
      </c>
      <c r="E299" s="242" t="s">
        <v>273</v>
      </c>
      <c r="F299" s="243">
        <v>1867617</v>
      </c>
      <c r="G299" s="243">
        <v>1794134.95</v>
      </c>
      <c r="H299" s="243">
        <f t="shared" si="9"/>
        <v>96.065464707164267</v>
      </c>
      <c r="I299" s="123" t="str">
        <f t="shared" si="8"/>
        <v>04051230075170100</v>
      </c>
    </row>
    <row r="300" spans="1:9" ht="25.5">
      <c r="A300" s="241" t="s">
        <v>1203</v>
      </c>
      <c r="B300" s="242" t="s">
        <v>5</v>
      </c>
      <c r="C300" s="242" t="s">
        <v>352</v>
      </c>
      <c r="D300" s="242" t="s">
        <v>669</v>
      </c>
      <c r="E300" s="242" t="s">
        <v>28</v>
      </c>
      <c r="F300" s="243">
        <v>1867617</v>
      </c>
      <c r="G300" s="243">
        <v>1794134.95</v>
      </c>
      <c r="H300" s="243">
        <f t="shared" si="9"/>
        <v>96.065464707164267</v>
      </c>
      <c r="I300" s="123" t="str">
        <f t="shared" si="8"/>
        <v>04051230075170120</v>
      </c>
    </row>
    <row r="301" spans="1:9" ht="25.5">
      <c r="A301" s="241" t="s">
        <v>953</v>
      </c>
      <c r="B301" s="242" t="s">
        <v>5</v>
      </c>
      <c r="C301" s="242" t="s">
        <v>352</v>
      </c>
      <c r="D301" s="242" t="s">
        <v>669</v>
      </c>
      <c r="E301" s="242" t="s">
        <v>324</v>
      </c>
      <c r="F301" s="243">
        <v>1369605</v>
      </c>
      <c r="G301" s="243">
        <v>1369605</v>
      </c>
      <c r="H301" s="243">
        <f t="shared" si="9"/>
        <v>100</v>
      </c>
      <c r="I301" s="123" t="str">
        <f t="shared" si="8"/>
        <v>04051230075170121</v>
      </c>
    </row>
    <row r="302" spans="1:9" ht="38.25">
      <c r="A302" s="241" t="s">
        <v>325</v>
      </c>
      <c r="B302" s="242" t="s">
        <v>5</v>
      </c>
      <c r="C302" s="242" t="s">
        <v>352</v>
      </c>
      <c r="D302" s="242" t="s">
        <v>669</v>
      </c>
      <c r="E302" s="242" t="s">
        <v>326</v>
      </c>
      <c r="F302" s="243">
        <v>84400</v>
      </c>
      <c r="G302" s="243">
        <v>18650</v>
      </c>
      <c r="H302" s="243">
        <f t="shared" si="9"/>
        <v>22.097156398104264</v>
      </c>
      <c r="I302" s="123" t="str">
        <f t="shared" si="8"/>
        <v>04051230075170122</v>
      </c>
    </row>
    <row r="303" spans="1:9" ht="38.25">
      <c r="A303" s="241" t="s">
        <v>1054</v>
      </c>
      <c r="B303" s="242" t="s">
        <v>5</v>
      </c>
      <c r="C303" s="242" t="s">
        <v>352</v>
      </c>
      <c r="D303" s="242" t="s">
        <v>669</v>
      </c>
      <c r="E303" s="242" t="s">
        <v>1055</v>
      </c>
      <c r="F303" s="243">
        <v>413612</v>
      </c>
      <c r="G303" s="243">
        <v>405879.95</v>
      </c>
      <c r="H303" s="243">
        <f t="shared" si="9"/>
        <v>98.130603077280156</v>
      </c>
      <c r="I303" s="123" t="str">
        <f t="shared" si="8"/>
        <v>04051230075170129</v>
      </c>
    </row>
    <row r="304" spans="1:9" ht="25.5">
      <c r="A304" s="241" t="s">
        <v>1319</v>
      </c>
      <c r="B304" s="242" t="s">
        <v>5</v>
      </c>
      <c r="C304" s="242" t="s">
        <v>352</v>
      </c>
      <c r="D304" s="242" t="s">
        <v>669</v>
      </c>
      <c r="E304" s="242" t="s">
        <v>1320</v>
      </c>
      <c r="F304" s="243">
        <v>103500</v>
      </c>
      <c r="G304" s="243">
        <v>103500</v>
      </c>
      <c r="H304" s="243">
        <f t="shared" si="9"/>
        <v>100</v>
      </c>
      <c r="I304" s="123" t="str">
        <f t="shared" si="8"/>
        <v>04051230075170200</v>
      </c>
    </row>
    <row r="305" spans="1:9" ht="25.5">
      <c r="A305" s="241" t="s">
        <v>1196</v>
      </c>
      <c r="B305" s="242" t="s">
        <v>5</v>
      </c>
      <c r="C305" s="242" t="s">
        <v>352</v>
      </c>
      <c r="D305" s="242" t="s">
        <v>669</v>
      </c>
      <c r="E305" s="242" t="s">
        <v>1197</v>
      </c>
      <c r="F305" s="243">
        <v>103500</v>
      </c>
      <c r="G305" s="243">
        <v>103500</v>
      </c>
      <c r="H305" s="243">
        <f t="shared" si="9"/>
        <v>100</v>
      </c>
      <c r="I305" s="123" t="str">
        <f t="shared" si="8"/>
        <v>04051230075170240</v>
      </c>
    </row>
    <row r="306" spans="1:9">
      <c r="A306" s="241" t="s">
        <v>1223</v>
      </c>
      <c r="B306" s="242" t="s">
        <v>5</v>
      </c>
      <c r="C306" s="242" t="s">
        <v>352</v>
      </c>
      <c r="D306" s="242" t="s">
        <v>669</v>
      </c>
      <c r="E306" s="242" t="s">
        <v>329</v>
      </c>
      <c r="F306" s="243">
        <v>103500</v>
      </c>
      <c r="G306" s="243">
        <v>103500</v>
      </c>
      <c r="H306" s="243">
        <f t="shared" si="9"/>
        <v>100</v>
      </c>
      <c r="I306" s="123" t="str">
        <f t="shared" si="8"/>
        <v>04051230075170244</v>
      </c>
    </row>
    <row r="307" spans="1:9">
      <c r="A307" s="241" t="s">
        <v>1661</v>
      </c>
      <c r="B307" s="242" t="s">
        <v>5</v>
      </c>
      <c r="C307" s="242" t="s">
        <v>1662</v>
      </c>
      <c r="D307" s="242"/>
      <c r="E307" s="242"/>
      <c r="F307" s="243">
        <v>2133700</v>
      </c>
      <c r="G307" s="243">
        <v>1248775.22</v>
      </c>
      <c r="H307" s="243">
        <f t="shared" si="9"/>
        <v>58.526279233256787</v>
      </c>
      <c r="I307" s="123" t="str">
        <f t="shared" si="8"/>
        <v>0407</v>
      </c>
    </row>
    <row r="308" spans="1:9" ht="25.5">
      <c r="A308" s="241" t="s">
        <v>599</v>
      </c>
      <c r="B308" s="242" t="s">
        <v>5</v>
      </c>
      <c r="C308" s="242" t="s">
        <v>1662</v>
      </c>
      <c r="D308" s="242" t="s">
        <v>1006</v>
      </c>
      <c r="E308" s="242"/>
      <c r="F308" s="243">
        <v>2133700</v>
      </c>
      <c r="G308" s="243">
        <v>1248775.22</v>
      </c>
      <c r="H308" s="243">
        <f t="shared" si="9"/>
        <v>58.526279233256787</v>
      </c>
      <c r="I308" s="123" t="str">
        <f t="shared" si="8"/>
        <v>04078000000000</v>
      </c>
    </row>
    <row r="309" spans="1:9" ht="38.25">
      <c r="A309" s="241" t="s">
        <v>600</v>
      </c>
      <c r="B309" s="242" t="s">
        <v>5</v>
      </c>
      <c r="C309" s="242" t="s">
        <v>1662</v>
      </c>
      <c r="D309" s="242" t="s">
        <v>1008</v>
      </c>
      <c r="E309" s="242"/>
      <c r="F309" s="243">
        <v>2133700</v>
      </c>
      <c r="G309" s="243">
        <v>1248775.22</v>
      </c>
      <c r="H309" s="243">
        <f t="shared" si="9"/>
        <v>58.526279233256787</v>
      </c>
      <c r="I309" s="123" t="str">
        <f t="shared" si="8"/>
        <v>04078020000000</v>
      </c>
    </row>
    <row r="310" spans="1:9" ht="63.75">
      <c r="A310" s="241" t="s">
        <v>1663</v>
      </c>
      <c r="B310" s="242" t="s">
        <v>5</v>
      </c>
      <c r="C310" s="242" t="s">
        <v>1662</v>
      </c>
      <c r="D310" s="242" t="s">
        <v>1664</v>
      </c>
      <c r="E310" s="242"/>
      <c r="F310" s="243">
        <v>2133700</v>
      </c>
      <c r="G310" s="243">
        <v>1248775.22</v>
      </c>
      <c r="H310" s="243">
        <f t="shared" si="9"/>
        <v>58.526279233256787</v>
      </c>
      <c r="I310" s="123" t="str">
        <f t="shared" ref="I310:I368" si="10">CONCATENATE(C310,D310,E310)</f>
        <v>04078020074460</v>
      </c>
    </row>
    <row r="311" spans="1:9" ht="63.75">
      <c r="A311" s="241" t="s">
        <v>1318</v>
      </c>
      <c r="B311" s="242" t="s">
        <v>5</v>
      </c>
      <c r="C311" s="242" t="s">
        <v>1662</v>
      </c>
      <c r="D311" s="242" t="s">
        <v>1664</v>
      </c>
      <c r="E311" s="242" t="s">
        <v>273</v>
      </c>
      <c r="F311" s="243">
        <v>2093700</v>
      </c>
      <c r="G311" s="243">
        <v>1223502.47</v>
      </c>
      <c r="H311" s="243">
        <f t="shared" si="9"/>
        <v>58.437334384104688</v>
      </c>
      <c r="I311" s="123" t="str">
        <f t="shared" si="10"/>
        <v>04078020074460100</v>
      </c>
    </row>
    <row r="312" spans="1:9" ht="25.5">
      <c r="A312" s="241" t="s">
        <v>1203</v>
      </c>
      <c r="B312" s="242" t="s">
        <v>5</v>
      </c>
      <c r="C312" s="242" t="s">
        <v>1662</v>
      </c>
      <c r="D312" s="242" t="s">
        <v>1664</v>
      </c>
      <c r="E312" s="242" t="s">
        <v>28</v>
      </c>
      <c r="F312" s="243">
        <v>2093700</v>
      </c>
      <c r="G312" s="243">
        <v>1223502.47</v>
      </c>
      <c r="H312" s="243">
        <f t="shared" si="9"/>
        <v>58.437334384104688</v>
      </c>
      <c r="I312" s="123" t="str">
        <f t="shared" si="10"/>
        <v>04078020074460120</v>
      </c>
    </row>
    <row r="313" spans="1:9" ht="25.5">
      <c r="A313" s="241" t="s">
        <v>953</v>
      </c>
      <c r="B313" s="242" t="s">
        <v>5</v>
      </c>
      <c r="C313" s="242" t="s">
        <v>1662</v>
      </c>
      <c r="D313" s="242" t="s">
        <v>1664</v>
      </c>
      <c r="E313" s="242" t="s">
        <v>324</v>
      </c>
      <c r="F313" s="243">
        <v>1475922</v>
      </c>
      <c r="G313" s="243">
        <v>939160.74</v>
      </c>
      <c r="H313" s="243">
        <f t="shared" si="9"/>
        <v>63.632139096781536</v>
      </c>
      <c r="I313" s="123" t="str">
        <f t="shared" si="10"/>
        <v>04078020074460121</v>
      </c>
    </row>
    <row r="314" spans="1:9" ht="38.25">
      <c r="A314" s="241" t="s">
        <v>325</v>
      </c>
      <c r="B314" s="242" t="s">
        <v>5</v>
      </c>
      <c r="C314" s="242" t="s">
        <v>1662</v>
      </c>
      <c r="D314" s="242" t="s">
        <v>1664</v>
      </c>
      <c r="E314" s="242" t="s">
        <v>326</v>
      </c>
      <c r="F314" s="243">
        <v>172000</v>
      </c>
      <c r="G314" s="243">
        <v>5500</v>
      </c>
      <c r="H314" s="243">
        <f t="shared" si="9"/>
        <v>3.1976744186046515</v>
      </c>
      <c r="I314" s="123" t="str">
        <f t="shared" si="10"/>
        <v>04078020074460122</v>
      </c>
    </row>
    <row r="315" spans="1:9" ht="38.25">
      <c r="A315" s="241" t="s">
        <v>1054</v>
      </c>
      <c r="B315" s="242" t="s">
        <v>5</v>
      </c>
      <c r="C315" s="242" t="s">
        <v>1662</v>
      </c>
      <c r="D315" s="242" t="s">
        <v>1664</v>
      </c>
      <c r="E315" s="242" t="s">
        <v>1055</v>
      </c>
      <c r="F315" s="243">
        <v>445778</v>
      </c>
      <c r="G315" s="243">
        <v>278841.73</v>
      </c>
      <c r="H315" s="243">
        <f t="shared" si="9"/>
        <v>62.551702865551903</v>
      </c>
      <c r="I315" s="123" t="str">
        <f t="shared" si="10"/>
        <v>04078020074460129</v>
      </c>
    </row>
    <row r="316" spans="1:9" ht="25.5">
      <c r="A316" s="241" t="s">
        <v>1319</v>
      </c>
      <c r="B316" s="242" t="s">
        <v>5</v>
      </c>
      <c r="C316" s="242" t="s">
        <v>1662</v>
      </c>
      <c r="D316" s="242" t="s">
        <v>1664</v>
      </c>
      <c r="E316" s="242" t="s">
        <v>1320</v>
      </c>
      <c r="F316" s="243">
        <v>40000</v>
      </c>
      <c r="G316" s="243">
        <v>25272.75</v>
      </c>
      <c r="H316" s="243">
        <f t="shared" si="9"/>
        <v>63.181874999999998</v>
      </c>
      <c r="I316" s="123" t="str">
        <f t="shared" si="10"/>
        <v>04078020074460200</v>
      </c>
    </row>
    <row r="317" spans="1:9" ht="25.5">
      <c r="A317" s="241" t="s">
        <v>1196</v>
      </c>
      <c r="B317" s="242" t="s">
        <v>5</v>
      </c>
      <c r="C317" s="242" t="s">
        <v>1662</v>
      </c>
      <c r="D317" s="242" t="s">
        <v>1664</v>
      </c>
      <c r="E317" s="242" t="s">
        <v>1197</v>
      </c>
      <c r="F317" s="243">
        <v>40000</v>
      </c>
      <c r="G317" s="243">
        <v>25272.75</v>
      </c>
      <c r="H317" s="243">
        <f t="shared" si="9"/>
        <v>63.181874999999998</v>
      </c>
      <c r="I317" s="123" t="str">
        <f t="shared" si="10"/>
        <v>04078020074460240</v>
      </c>
    </row>
    <row r="318" spans="1:9">
      <c r="A318" s="241" t="s">
        <v>1223</v>
      </c>
      <c r="B318" s="242" t="s">
        <v>5</v>
      </c>
      <c r="C318" s="242" t="s">
        <v>1662</v>
      </c>
      <c r="D318" s="242" t="s">
        <v>1664</v>
      </c>
      <c r="E318" s="242" t="s">
        <v>329</v>
      </c>
      <c r="F318" s="243">
        <v>40000</v>
      </c>
      <c r="G318" s="243">
        <v>25272.75</v>
      </c>
      <c r="H318" s="243">
        <f t="shared" si="9"/>
        <v>63.181874999999998</v>
      </c>
      <c r="I318" s="123" t="str">
        <f t="shared" si="10"/>
        <v>04078020074460244</v>
      </c>
    </row>
    <row r="319" spans="1:9">
      <c r="A319" s="241" t="s">
        <v>185</v>
      </c>
      <c r="B319" s="242" t="s">
        <v>5</v>
      </c>
      <c r="C319" s="242" t="s">
        <v>356</v>
      </c>
      <c r="D319" s="242"/>
      <c r="E319" s="242"/>
      <c r="F319" s="243">
        <v>71891939.340000004</v>
      </c>
      <c r="G319" s="243">
        <v>71891939.329999998</v>
      </c>
      <c r="H319" s="243">
        <f t="shared" si="9"/>
        <v>99.999999986090231</v>
      </c>
      <c r="I319" s="123" t="str">
        <f t="shared" si="10"/>
        <v>0408</v>
      </c>
    </row>
    <row r="320" spans="1:9" ht="25.5">
      <c r="A320" s="241" t="s">
        <v>483</v>
      </c>
      <c r="B320" s="242" t="s">
        <v>5</v>
      </c>
      <c r="C320" s="242" t="s">
        <v>356</v>
      </c>
      <c r="D320" s="242" t="s">
        <v>993</v>
      </c>
      <c r="E320" s="242"/>
      <c r="F320" s="243">
        <v>71891939.340000004</v>
      </c>
      <c r="G320" s="243">
        <v>71891939.329999998</v>
      </c>
      <c r="H320" s="243">
        <f t="shared" si="9"/>
        <v>99.999999986090231</v>
      </c>
      <c r="I320" s="123" t="str">
        <f t="shared" si="10"/>
        <v>04080900000000</v>
      </c>
    </row>
    <row r="321" spans="1:9" ht="25.5">
      <c r="A321" s="241" t="s">
        <v>486</v>
      </c>
      <c r="B321" s="242" t="s">
        <v>5</v>
      </c>
      <c r="C321" s="242" t="s">
        <v>356</v>
      </c>
      <c r="D321" s="242" t="s">
        <v>995</v>
      </c>
      <c r="E321" s="242"/>
      <c r="F321" s="243">
        <v>71891939.340000004</v>
      </c>
      <c r="G321" s="243">
        <v>71891939.329999998</v>
      </c>
      <c r="H321" s="243">
        <f t="shared" si="9"/>
        <v>99.999999986090231</v>
      </c>
      <c r="I321" s="123" t="str">
        <f t="shared" si="10"/>
        <v>04080920000000</v>
      </c>
    </row>
    <row r="322" spans="1:9" ht="63.75">
      <c r="A322" s="241" t="s">
        <v>1842</v>
      </c>
      <c r="B322" s="242" t="s">
        <v>5</v>
      </c>
      <c r="C322" s="242" t="s">
        <v>356</v>
      </c>
      <c r="D322" s="242" t="s">
        <v>1843</v>
      </c>
      <c r="E322" s="242"/>
      <c r="F322" s="243">
        <v>7982236.5999999996</v>
      </c>
      <c r="G322" s="243">
        <v>7982236.5999999996</v>
      </c>
      <c r="H322" s="243">
        <f t="shared" si="9"/>
        <v>100</v>
      </c>
      <c r="I322" s="123" t="str">
        <f t="shared" si="10"/>
        <v>040809200В0000</v>
      </c>
    </row>
    <row r="323" spans="1:9">
      <c r="A323" s="241" t="s">
        <v>1321</v>
      </c>
      <c r="B323" s="242" t="s">
        <v>5</v>
      </c>
      <c r="C323" s="242" t="s">
        <v>356</v>
      </c>
      <c r="D323" s="242" t="s">
        <v>1843</v>
      </c>
      <c r="E323" s="242" t="s">
        <v>1322</v>
      </c>
      <c r="F323" s="243">
        <v>7982236.5999999996</v>
      </c>
      <c r="G323" s="243">
        <v>7982236.5999999996</v>
      </c>
      <c r="H323" s="243">
        <f t="shared" si="9"/>
        <v>100</v>
      </c>
      <c r="I323" s="123" t="str">
        <f t="shared" si="10"/>
        <v>040809200В0000800</v>
      </c>
    </row>
    <row r="324" spans="1:9" ht="51">
      <c r="A324" s="241" t="s">
        <v>1206</v>
      </c>
      <c r="B324" s="242" t="s">
        <v>5</v>
      </c>
      <c r="C324" s="242" t="s">
        <v>356</v>
      </c>
      <c r="D324" s="242" t="s">
        <v>1843</v>
      </c>
      <c r="E324" s="242" t="s">
        <v>354</v>
      </c>
      <c r="F324" s="243">
        <v>7982236.5999999996</v>
      </c>
      <c r="G324" s="243">
        <v>7982236.5999999996</v>
      </c>
      <c r="H324" s="243">
        <f t="shared" si="9"/>
        <v>100</v>
      </c>
      <c r="I324" s="123" t="str">
        <f t="shared" si="10"/>
        <v>040809200В0000810</v>
      </c>
    </row>
    <row r="325" spans="1:9" ht="51">
      <c r="A325" s="241" t="s">
        <v>1225</v>
      </c>
      <c r="B325" s="242" t="s">
        <v>5</v>
      </c>
      <c r="C325" s="242" t="s">
        <v>356</v>
      </c>
      <c r="D325" s="242" t="s">
        <v>1843</v>
      </c>
      <c r="E325" s="242" t="s">
        <v>1226</v>
      </c>
      <c r="F325" s="243">
        <v>7982236.5999999996</v>
      </c>
      <c r="G325" s="243">
        <v>7982236.5999999996</v>
      </c>
      <c r="H325" s="243">
        <f t="shared" si="9"/>
        <v>100</v>
      </c>
      <c r="I325" s="123" t="str">
        <f t="shared" si="10"/>
        <v>040809200В0000811</v>
      </c>
    </row>
    <row r="326" spans="1:9" ht="63.75">
      <c r="A326" s="241" t="s">
        <v>357</v>
      </c>
      <c r="B326" s="242" t="s">
        <v>5</v>
      </c>
      <c r="C326" s="242" t="s">
        <v>356</v>
      </c>
      <c r="D326" s="242" t="s">
        <v>670</v>
      </c>
      <c r="E326" s="242"/>
      <c r="F326" s="243">
        <v>63909702.740000002</v>
      </c>
      <c r="G326" s="243">
        <v>63909702.729999997</v>
      </c>
      <c r="H326" s="243">
        <f t="shared" ref="H326:H389" si="11">G326/F326*100</f>
        <v>99.999999984352911</v>
      </c>
      <c r="I326" s="123" t="str">
        <f t="shared" si="10"/>
        <v>040809200П0000</v>
      </c>
    </row>
    <row r="327" spans="1:9">
      <c r="A327" s="241" t="s">
        <v>1321</v>
      </c>
      <c r="B327" s="242" t="s">
        <v>5</v>
      </c>
      <c r="C327" s="242" t="s">
        <v>356</v>
      </c>
      <c r="D327" s="242" t="s">
        <v>670</v>
      </c>
      <c r="E327" s="242" t="s">
        <v>1322</v>
      </c>
      <c r="F327" s="243">
        <v>63909702.740000002</v>
      </c>
      <c r="G327" s="243">
        <v>63909702.729999997</v>
      </c>
      <c r="H327" s="243">
        <f t="shared" si="11"/>
        <v>99.999999984352911</v>
      </c>
      <c r="I327" s="123" t="str">
        <f t="shared" si="10"/>
        <v>040809200П0000800</v>
      </c>
    </row>
    <row r="328" spans="1:9" ht="51">
      <c r="A328" s="241" t="s">
        <v>1206</v>
      </c>
      <c r="B328" s="242" t="s">
        <v>5</v>
      </c>
      <c r="C328" s="242" t="s">
        <v>356</v>
      </c>
      <c r="D328" s="242" t="s">
        <v>670</v>
      </c>
      <c r="E328" s="242" t="s">
        <v>354</v>
      </c>
      <c r="F328" s="243">
        <v>63909702.740000002</v>
      </c>
      <c r="G328" s="243">
        <v>63909702.729999997</v>
      </c>
      <c r="H328" s="243">
        <f t="shared" si="11"/>
        <v>99.999999984352911</v>
      </c>
      <c r="I328" s="123" t="str">
        <f t="shared" si="10"/>
        <v>040809200П0000810</v>
      </c>
    </row>
    <row r="329" spans="1:9" ht="51">
      <c r="A329" s="241" t="s">
        <v>1225</v>
      </c>
      <c r="B329" s="242" t="s">
        <v>5</v>
      </c>
      <c r="C329" s="242" t="s">
        <v>356</v>
      </c>
      <c r="D329" s="242" t="s">
        <v>670</v>
      </c>
      <c r="E329" s="242" t="s">
        <v>1226</v>
      </c>
      <c r="F329" s="243">
        <v>63909702.740000002</v>
      </c>
      <c r="G329" s="243">
        <v>63909702.729999997</v>
      </c>
      <c r="H329" s="243">
        <f t="shared" si="11"/>
        <v>99.999999984352911</v>
      </c>
      <c r="I329" s="123" t="str">
        <f t="shared" si="10"/>
        <v>040809200П0000811</v>
      </c>
    </row>
    <row r="330" spans="1:9">
      <c r="A330" s="241" t="s">
        <v>252</v>
      </c>
      <c r="B330" s="242" t="s">
        <v>5</v>
      </c>
      <c r="C330" s="242" t="s">
        <v>358</v>
      </c>
      <c r="D330" s="242"/>
      <c r="E330" s="242"/>
      <c r="F330" s="243">
        <v>214800</v>
      </c>
      <c r="G330" s="243">
        <v>206562</v>
      </c>
      <c r="H330" s="243">
        <f t="shared" si="11"/>
        <v>96.164804469273747</v>
      </c>
      <c r="I330" s="123" t="str">
        <f t="shared" si="10"/>
        <v>0409</v>
      </c>
    </row>
    <row r="331" spans="1:9" ht="25.5">
      <c r="A331" s="241" t="s">
        <v>483</v>
      </c>
      <c r="B331" s="242" t="s">
        <v>5</v>
      </c>
      <c r="C331" s="242" t="s">
        <v>358</v>
      </c>
      <c r="D331" s="242" t="s">
        <v>993</v>
      </c>
      <c r="E331" s="242"/>
      <c r="F331" s="243">
        <v>214800</v>
      </c>
      <c r="G331" s="243">
        <v>206562</v>
      </c>
      <c r="H331" s="243">
        <f t="shared" si="11"/>
        <v>96.164804469273747</v>
      </c>
      <c r="I331" s="123" t="str">
        <f t="shared" si="10"/>
        <v>04090900000000</v>
      </c>
    </row>
    <row r="332" spans="1:9">
      <c r="A332" s="241" t="s">
        <v>484</v>
      </c>
      <c r="B332" s="242" t="s">
        <v>5</v>
      </c>
      <c r="C332" s="242" t="s">
        <v>358</v>
      </c>
      <c r="D332" s="242" t="s">
        <v>994</v>
      </c>
      <c r="E332" s="242"/>
      <c r="F332" s="243">
        <v>214800</v>
      </c>
      <c r="G332" s="243">
        <v>206562</v>
      </c>
      <c r="H332" s="243">
        <f t="shared" si="11"/>
        <v>96.164804469273747</v>
      </c>
      <c r="I332" s="123" t="str">
        <f t="shared" si="10"/>
        <v>04090910000000</v>
      </c>
    </row>
    <row r="333" spans="1:9" ht="51">
      <c r="A333" s="241" t="s">
        <v>359</v>
      </c>
      <c r="B333" s="242" t="s">
        <v>5</v>
      </c>
      <c r="C333" s="242" t="s">
        <v>358</v>
      </c>
      <c r="D333" s="242" t="s">
        <v>671</v>
      </c>
      <c r="E333" s="242"/>
      <c r="F333" s="243">
        <v>214800</v>
      </c>
      <c r="G333" s="243">
        <v>206562</v>
      </c>
      <c r="H333" s="243">
        <f t="shared" si="11"/>
        <v>96.164804469273747</v>
      </c>
      <c r="I333" s="123" t="str">
        <f t="shared" si="10"/>
        <v>04090910080000</v>
      </c>
    </row>
    <row r="334" spans="1:9" ht="25.5">
      <c r="A334" s="241" t="s">
        <v>1319</v>
      </c>
      <c r="B334" s="242" t="s">
        <v>5</v>
      </c>
      <c r="C334" s="242" t="s">
        <v>358</v>
      </c>
      <c r="D334" s="242" t="s">
        <v>671</v>
      </c>
      <c r="E334" s="242" t="s">
        <v>1320</v>
      </c>
      <c r="F334" s="243">
        <v>214800</v>
      </c>
      <c r="G334" s="243">
        <v>206562</v>
      </c>
      <c r="H334" s="243">
        <f t="shared" si="11"/>
        <v>96.164804469273747</v>
      </c>
      <c r="I334" s="123" t="str">
        <f t="shared" si="10"/>
        <v>04090910080000200</v>
      </c>
    </row>
    <row r="335" spans="1:9" ht="25.5">
      <c r="A335" s="241" t="s">
        <v>1196</v>
      </c>
      <c r="B335" s="242" t="s">
        <v>5</v>
      </c>
      <c r="C335" s="242" t="s">
        <v>358</v>
      </c>
      <c r="D335" s="242" t="s">
        <v>671</v>
      </c>
      <c r="E335" s="242" t="s">
        <v>1197</v>
      </c>
      <c r="F335" s="243">
        <v>214800</v>
      </c>
      <c r="G335" s="243">
        <v>206562</v>
      </c>
      <c r="H335" s="243">
        <f t="shared" si="11"/>
        <v>96.164804469273747</v>
      </c>
      <c r="I335" s="123" t="str">
        <f t="shared" si="10"/>
        <v>04090910080000240</v>
      </c>
    </row>
    <row r="336" spans="1:9">
      <c r="A336" s="241" t="s">
        <v>1223</v>
      </c>
      <c r="B336" s="242" t="s">
        <v>5</v>
      </c>
      <c r="C336" s="242" t="s">
        <v>358</v>
      </c>
      <c r="D336" s="242" t="s">
        <v>671</v>
      </c>
      <c r="E336" s="242" t="s">
        <v>329</v>
      </c>
      <c r="F336" s="243">
        <v>214800</v>
      </c>
      <c r="G336" s="243">
        <v>206562</v>
      </c>
      <c r="H336" s="243">
        <f t="shared" si="11"/>
        <v>96.164804469273747</v>
      </c>
      <c r="I336" s="123" t="str">
        <f t="shared" si="10"/>
        <v>04090910080000244</v>
      </c>
    </row>
    <row r="337" spans="1:9">
      <c r="A337" s="241" t="s">
        <v>145</v>
      </c>
      <c r="B337" s="242" t="s">
        <v>5</v>
      </c>
      <c r="C337" s="242" t="s">
        <v>360</v>
      </c>
      <c r="D337" s="242"/>
      <c r="E337" s="242"/>
      <c r="F337" s="243">
        <v>14463565.880000001</v>
      </c>
      <c r="G337" s="243">
        <v>14163565.880000001</v>
      </c>
      <c r="H337" s="243">
        <f t="shared" si="11"/>
        <v>97.925822701752722</v>
      </c>
      <c r="I337" s="123" t="str">
        <f t="shared" si="10"/>
        <v>0412</v>
      </c>
    </row>
    <row r="338" spans="1:9" ht="38.25">
      <c r="A338" s="241" t="s">
        <v>1239</v>
      </c>
      <c r="B338" s="242" t="s">
        <v>5</v>
      </c>
      <c r="C338" s="242" t="s">
        <v>360</v>
      </c>
      <c r="D338" s="242" t="s">
        <v>991</v>
      </c>
      <c r="E338" s="242"/>
      <c r="F338" s="243">
        <v>14370757.5</v>
      </c>
      <c r="G338" s="243">
        <v>14070757.5</v>
      </c>
      <c r="H338" s="243">
        <f t="shared" si="11"/>
        <v>97.912427372043538</v>
      </c>
      <c r="I338" s="123" t="str">
        <f t="shared" si="10"/>
        <v>04120800000000</v>
      </c>
    </row>
    <row r="339" spans="1:9" ht="25.5">
      <c r="A339" s="241" t="s">
        <v>480</v>
      </c>
      <c r="B339" s="242" t="s">
        <v>5</v>
      </c>
      <c r="C339" s="242" t="s">
        <v>360</v>
      </c>
      <c r="D339" s="242" t="s">
        <v>992</v>
      </c>
      <c r="E339" s="242"/>
      <c r="F339" s="243">
        <v>14367757.5</v>
      </c>
      <c r="G339" s="243">
        <v>14067757.5</v>
      </c>
      <c r="H339" s="243">
        <f t="shared" si="11"/>
        <v>97.911991485101282</v>
      </c>
      <c r="I339" s="123" t="str">
        <f t="shared" si="10"/>
        <v>04120810000000</v>
      </c>
    </row>
    <row r="340" spans="1:9" ht="102">
      <c r="A340" s="241" t="s">
        <v>1309</v>
      </c>
      <c r="B340" s="242" t="s">
        <v>5</v>
      </c>
      <c r="C340" s="242" t="s">
        <v>360</v>
      </c>
      <c r="D340" s="242" t="s">
        <v>672</v>
      </c>
      <c r="E340" s="242"/>
      <c r="F340" s="243">
        <v>10000</v>
      </c>
      <c r="G340" s="243">
        <v>10000</v>
      </c>
      <c r="H340" s="243">
        <f t="shared" si="11"/>
        <v>100</v>
      </c>
      <c r="I340" s="123" t="str">
        <f t="shared" si="10"/>
        <v>04120810080020</v>
      </c>
    </row>
    <row r="341" spans="1:9" ht="25.5">
      <c r="A341" s="241" t="s">
        <v>1319</v>
      </c>
      <c r="B341" s="242" t="s">
        <v>5</v>
      </c>
      <c r="C341" s="242" t="s">
        <v>360</v>
      </c>
      <c r="D341" s="242" t="s">
        <v>672</v>
      </c>
      <c r="E341" s="242" t="s">
        <v>1320</v>
      </c>
      <c r="F341" s="243">
        <v>10000</v>
      </c>
      <c r="G341" s="243">
        <v>10000</v>
      </c>
      <c r="H341" s="243">
        <f t="shared" si="11"/>
        <v>100</v>
      </c>
      <c r="I341" s="123" t="str">
        <f t="shared" si="10"/>
        <v>04120810080020200</v>
      </c>
    </row>
    <row r="342" spans="1:9" ht="25.5">
      <c r="A342" s="241" t="s">
        <v>1196</v>
      </c>
      <c r="B342" s="242" t="s">
        <v>5</v>
      </c>
      <c r="C342" s="242" t="s">
        <v>360</v>
      </c>
      <c r="D342" s="242" t="s">
        <v>672</v>
      </c>
      <c r="E342" s="242" t="s">
        <v>1197</v>
      </c>
      <c r="F342" s="243">
        <v>10000</v>
      </c>
      <c r="G342" s="243">
        <v>10000</v>
      </c>
      <c r="H342" s="243">
        <f t="shared" si="11"/>
        <v>100</v>
      </c>
      <c r="I342" s="123" t="str">
        <f t="shared" si="10"/>
        <v>04120810080020240</v>
      </c>
    </row>
    <row r="343" spans="1:9">
      <c r="A343" s="241" t="s">
        <v>1223</v>
      </c>
      <c r="B343" s="242" t="s">
        <v>5</v>
      </c>
      <c r="C343" s="242" t="s">
        <v>360</v>
      </c>
      <c r="D343" s="242" t="s">
        <v>672</v>
      </c>
      <c r="E343" s="242" t="s">
        <v>329</v>
      </c>
      <c r="F343" s="243">
        <v>10000</v>
      </c>
      <c r="G343" s="243">
        <v>10000</v>
      </c>
      <c r="H343" s="243">
        <f t="shared" si="11"/>
        <v>100</v>
      </c>
      <c r="I343" s="123" t="str">
        <f t="shared" si="10"/>
        <v>04120810080020244</v>
      </c>
    </row>
    <row r="344" spans="1:9" ht="114.75">
      <c r="A344" s="241" t="s">
        <v>1513</v>
      </c>
      <c r="B344" s="242" t="s">
        <v>5</v>
      </c>
      <c r="C344" s="242" t="s">
        <v>360</v>
      </c>
      <c r="D344" s="242" t="s">
        <v>1344</v>
      </c>
      <c r="E344" s="242"/>
      <c r="F344" s="243">
        <v>1923158</v>
      </c>
      <c r="G344" s="243">
        <v>1923158</v>
      </c>
      <c r="H344" s="243">
        <f t="shared" si="11"/>
        <v>100</v>
      </c>
      <c r="I344" s="123" t="str">
        <f t="shared" si="10"/>
        <v>041208100S6070</v>
      </c>
    </row>
    <row r="345" spans="1:9">
      <c r="A345" s="241" t="s">
        <v>1321</v>
      </c>
      <c r="B345" s="242" t="s">
        <v>5</v>
      </c>
      <c r="C345" s="242" t="s">
        <v>360</v>
      </c>
      <c r="D345" s="242" t="s">
        <v>1344</v>
      </c>
      <c r="E345" s="242" t="s">
        <v>1322</v>
      </c>
      <c r="F345" s="243">
        <v>1923158</v>
      </c>
      <c r="G345" s="243">
        <v>1923158</v>
      </c>
      <c r="H345" s="243">
        <f t="shared" si="11"/>
        <v>100</v>
      </c>
      <c r="I345" s="123" t="str">
        <f t="shared" si="10"/>
        <v>041208100S6070800</v>
      </c>
    </row>
    <row r="346" spans="1:9" ht="51">
      <c r="A346" s="241" t="s">
        <v>1206</v>
      </c>
      <c r="B346" s="242" t="s">
        <v>5</v>
      </c>
      <c r="C346" s="242" t="s">
        <v>360</v>
      </c>
      <c r="D346" s="242" t="s">
        <v>1344</v>
      </c>
      <c r="E346" s="242" t="s">
        <v>354</v>
      </c>
      <c r="F346" s="243">
        <v>1923158</v>
      </c>
      <c r="G346" s="243">
        <v>1923158</v>
      </c>
      <c r="H346" s="243">
        <f t="shared" si="11"/>
        <v>100</v>
      </c>
      <c r="I346" s="123" t="str">
        <f t="shared" si="10"/>
        <v>041208100S6070810</v>
      </c>
    </row>
    <row r="347" spans="1:9" ht="51">
      <c r="A347" s="241" t="s">
        <v>1225</v>
      </c>
      <c r="B347" s="242" t="s">
        <v>5</v>
      </c>
      <c r="C347" s="242" t="s">
        <v>360</v>
      </c>
      <c r="D347" s="242" t="s">
        <v>1344</v>
      </c>
      <c r="E347" s="242" t="s">
        <v>1226</v>
      </c>
      <c r="F347" s="243">
        <v>1923158</v>
      </c>
      <c r="G347" s="243">
        <v>1923158</v>
      </c>
      <c r="H347" s="243">
        <f t="shared" si="11"/>
        <v>100</v>
      </c>
      <c r="I347" s="123" t="str">
        <f t="shared" si="10"/>
        <v>041208100S6070811</v>
      </c>
    </row>
    <row r="348" spans="1:9" ht="102">
      <c r="A348" s="241" t="s">
        <v>2137</v>
      </c>
      <c r="B348" s="242" t="s">
        <v>5</v>
      </c>
      <c r="C348" s="242" t="s">
        <v>360</v>
      </c>
      <c r="D348" s="242" t="s">
        <v>2138</v>
      </c>
      <c r="E348" s="242"/>
      <c r="F348" s="243">
        <v>11834599.5</v>
      </c>
      <c r="G348" s="243">
        <v>11834599.5</v>
      </c>
      <c r="H348" s="243">
        <f t="shared" si="11"/>
        <v>100</v>
      </c>
      <c r="I348" s="123" t="str">
        <f t="shared" si="10"/>
        <v>041208100S6610</v>
      </c>
    </row>
    <row r="349" spans="1:9">
      <c r="A349" s="241" t="s">
        <v>1321</v>
      </c>
      <c r="B349" s="242" t="s">
        <v>5</v>
      </c>
      <c r="C349" s="242" t="s">
        <v>360</v>
      </c>
      <c r="D349" s="242" t="s">
        <v>2138</v>
      </c>
      <c r="E349" s="242" t="s">
        <v>1322</v>
      </c>
      <c r="F349" s="243">
        <v>11834599.5</v>
      </c>
      <c r="G349" s="243">
        <v>11834599.5</v>
      </c>
      <c r="H349" s="243">
        <f t="shared" si="11"/>
        <v>100</v>
      </c>
      <c r="I349" s="123" t="str">
        <f t="shared" si="10"/>
        <v>041208100S6610800</v>
      </c>
    </row>
    <row r="350" spans="1:9" ht="51">
      <c r="A350" s="241" t="s">
        <v>1206</v>
      </c>
      <c r="B350" s="242" t="s">
        <v>5</v>
      </c>
      <c r="C350" s="242" t="s">
        <v>360</v>
      </c>
      <c r="D350" s="242" t="s">
        <v>2138</v>
      </c>
      <c r="E350" s="242" t="s">
        <v>354</v>
      </c>
      <c r="F350" s="243">
        <v>11834599.5</v>
      </c>
      <c r="G350" s="243">
        <v>11834599.5</v>
      </c>
      <c r="H350" s="243">
        <f t="shared" si="11"/>
        <v>100</v>
      </c>
      <c r="I350" s="123" t="str">
        <f t="shared" si="10"/>
        <v>041208100S6610810</v>
      </c>
    </row>
    <row r="351" spans="1:9" ht="51">
      <c r="A351" s="241" t="s">
        <v>1225</v>
      </c>
      <c r="B351" s="242" t="s">
        <v>5</v>
      </c>
      <c r="C351" s="242" t="s">
        <v>360</v>
      </c>
      <c r="D351" s="242" t="s">
        <v>2138</v>
      </c>
      <c r="E351" s="242" t="s">
        <v>1226</v>
      </c>
      <c r="F351" s="243">
        <v>11834599.5</v>
      </c>
      <c r="G351" s="243">
        <v>11834599.5</v>
      </c>
      <c r="H351" s="243">
        <f t="shared" si="11"/>
        <v>100</v>
      </c>
      <c r="I351" s="123" t="str">
        <f t="shared" si="10"/>
        <v>041208100S6610811</v>
      </c>
    </row>
    <row r="352" spans="1:9" ht="127.5">
      <c r="A352" s="241" t="s">
        <v>2197</v>
      </c>
      <c r="B352" s="242" t="s">
        <v>5</v>
      </c>
      <c r="C352" s="242" t="s">
        <v>360</v>
      </c>
      <c r="D352" s="242" t="s">
        <v>2198</v>
      </c>
      <c r="E352" s="242"/>
      <c r="F352" s="243">
        <v>600000</v>
      </c>
      <c r="G352" s="243">
        <v>300000</v>
      </c>
      <c r="H352" s="243">
        <f t="shared" si="11"/>
        <v>50</v>
      </c>
      <c r="I352" s="123" t="str">
        <f t="shared" si="10"/>
        <v>041208100S6680</v>
      </c>
    </row>
    <row r="353" spans="1:9">
      <c r="A353" s="241" t="s">
        <v>1321</v>
      </c>
      <c r="B353" s="242" t="s">
        <v>5</v>
      </c>
      <c r="C353" s="242" t="s">
        <v>360</v>
      </c>
      <c r="D353" s="242" t="s">
        <v>2198</v>
      </c>
      <c r="E353" s="242" t="s">
        <v>1322</v>
      </c>
      <c r="F353" s="243">
        <v>600000</v>
      </c>
      <c r="G353" s="243">
        <v>300000</v>
      </c>
      <c r="H353" s="243">
        <f t="shared" si="11"/>
        <v>50</v>
      </c>
      <c r="I353" s="123" t="str">
        <f t="shared" si="10"/>
        <v>041208100S6680800</v>
      </c>
    </row>
    <row r="354" spans="1:9" ht="51">
      <c r="A354" s="241" t="s">
        <v>1206</v>
      </c>
      <c r="B354" s="242" t="s">
        <v>5</v>
      </c>
      <c r="C354" s="242" t="s">
        <v>360</v>
      </c>
      <c r="D354" s="242" t="s">
        <v>2198</v>
      </c>
      <c r="E354" s="242" t="s">
        <v>354</v>
      </c>
      <c r="F354" s="243">
        <v>600000</v>
      </c>
      <c r="G354" s="243">
        <v>300000</v>
      </c>
      <c r="H354" s="243">
        <f t="shared" si="11"/>
        <v>50</v>
      </c>
      <c r="I354" s="123" t="str">
        <f t="shared" si="10"/>
        <v>041208100S6680810</v>
      </c>
    </row>
    <row r="355" spans="1:9" ht="51">
      <c r="A355" s="241" t="s">
        <v>1342</v>
      </c>
      <c r="B355" s="242" t="s">
        <v>5</v>
      </c>
      <c r="C355" s="242" t="s">
        <v>360</v>
      </c>
      <c r="D355" s="242" t="s">
        <v>2198</v>
      </c>
      <c r="E355" s="242" t="s">
        <v>1343</v>
      </c>
      <c r="F355" s="243">
        <v>600000</v>
      </c>
      <c r="G355" s="243">
        <v>300000</v>
      </c>
      <c r="H355" s="243">
        <f t="shared" si="11"/>
        <v>50</v>
      </c>
      <c r="I355" s="123" t="str">
        <f t="shared" si="10"/>
        <v>041208100S6680813</v>
      </c>
    </row>
    <row r="356" spans="1:9" ht="25.5">
      <c r="A356" s="241" t="s">
        <v>447</v>
      </c>
      <c r="B356" s="242" t="s">
        <v>5</v>
      </c>
      <c r="C356" s="242" t="s">
        <v>360</v>
      </c>
      <c r="D356" s="242" t="s">
        <v>1310</v>
      </c>
      <c r="E356" s="242"/>
      <c r="F356" s="243">
        <v>3000</v>
      </c>
      <c r="G356" s="243">
        <v>3000</v>
      </c>
      <c r="H356" s="243">
        <f t="shared" si="11"/>
        <v>100</v>
      </c>
      <c r="I356" s="123" t="str">
        <f t="shared" si="10"/>
        <v>04120820000000</v>
      </c>
    </row>
    <row r="357" spans="1:9" ht="89.25">
      <c r="A357" s="241" t="s">
        <v>1311</v>
      </c>
      <c r="B357" s="242" t="s">
        <v>5</v>
      </c>
      <c r="C357" s="242" t="s">
        <v>360</v>
      </c>
      <c r="D357" s="242" t="s">
        <v>1312</v>
      </c>
      <c r="E357" s="242"/>
      <c r="F357" s="243">
        <v>3000</v>
      </c>
      <c r="G357" s="243">
        <v>3000</v>
      </c>
      <c r="H357" s="243">
        <f t="shared" si="11"/>
        <v>100</v>
      </c>
      <c r="I357" s="123" t="str">
        <f t="shared" si="10"/>
        <v>04120820080030</v>
      </c>
    </row>
    <row r="358" spans="1:9" ht="25.5">
      <c r="A358" s="241" t="s">
        <v>1319</v>
      </c>
      <c r="B358" s="242" t="s">
        <v>5</v>
      </c>
      <c r="C358" s="242" t="s">
        <v>360</v>
      </c>
      <c r="D358" s="242" t="s">
        <v>1312</v>
      </c>
      <c r="E358" s="242" t="s">
        <v>1320</v>
      </c>
      <c r="F358" s="243">
        <v>3000</v>
      </c>
      <c r="G358" s="243">
        <v>3000</v>
      </c>
      <c r="H358" s="243">
        <f t="shared" si="11"/>
        <v>100</v>
      </c>
      <c r="I358" s="123" t="str">
        <f t="shared" si="10"/>
        <v>04120820080030200</v>
      </c>
    </row>
    <row r="359" spans="1:9" ht="25.5">
      <c r="A359" s="241" t="s">
        <v>1196</v>
      </c>
      <c r="B359" s="242" t="s">
        <v>5</v>
      </c>
      <c r="C359" s="242" t="s">
        <v>360</v>
      </c>
      <c r="D359" s="242" t="s">
        <v>1312</v>
      </c>
      <c r="E359" s="242" t="s">
        <v>1197</v>
      </c>
      <c r="F359" s="243">
        <v>3000</v>
      </c>
      <c r="G359" s="243">
        <v>3000</v>
      </c>
      <c r="H359" s="243">
        <f t="shared" si="11"/>
        <v>100</v>
      </c>
      <c r="I359" s="123" t="str">
        <f t="shared" si="10"/>
        <v>04120820080030240</v>
      </c>
    </row>
    <row r="360" spans="1:9">
      <c r="A360" s="241" t="s">
        <v>1223</v>
      </c>
      <c r="B360" s="242" t="s">
        <v>5</v>
      </c>
      <c r="C360" s="242" t="s">
        <v>360</v>
      </c>
      <c r="D360" s="242" t="s">
        <v>1312</v>
      </c>
      <c r="E360" s="242" t="s">
        <v>329</v>
      </c>
      <c r="F360" s="243">
        <v>3000</v>
      </c>
      <c r="G360" s="243">
        <v>3000</v>
      </c>
      <c r="H360" s="243">
        <f t="shared" si="11"/>
        <v>100</v>
      </c>
      <c r="I360" s="123" t="str">
        <f t="shared" si="10"/>
        <v>04120820080030244</v>
      </c>
    </row>
    <row r="361" spans="1:9" ht="25.5">
      <c r="A361" s="241" t="s">
        <v>493</v>
      </c>
      <c r="B361" s="242" t="s">
        <v>5</v>
      </c>
      <c r="C361" s="242" t="s">
        <v>360</v>
      </c>
      <c r="D361" s="242" t="s">
        <v>1002</v>
      </c>
      <c r="E361" s="242"/>
      <c r="F361" s="243">
        <v>92808.38</v>
      </c>
      <c r="G361" s="243">
        <v>92808.38</v>
      </c>
      <c r="H361" s="243">
        <f t="shared" si="11"/>
        <v>100</v>
      </c>
      <c r="I361" s="123" t="str">
        <f t="shared" si="10"/>
        <v>04121200000000</v>
      </c>
    </row>
    <row r="362" spans="1:9" ht="25.5">
      <c r="A362" s="241" t="s">
        <v>495</v>
      </c>
      <c r="B362" s="242" t="s">
        <v>5</v>
      </c>
      <c r="C362" s="242" t="s">
        <v>360</v>
      </c>
      <c r="D362" s="242" t="s">
        <v>1004</v>
      </c>
      <c r="E362" s="242"/>
      <c r="F362" s="243">
        <v>92808.38</v>
      </c>
      <c r="G362" s="243">
        <v>92808.38</v>
      </c>
      <c r="H362" s="243">
        <f t="shared" si="11"/>
        <v>100</v>
      </c>
      <c r="I362" s="123" t="str">
        <f t="shared" si="10"/>
        <v>04121220000000</v>
      </c>
    </row>
    <row r="363" spans="1:9" ht="63.75">
      <c r="A363" s="241" t="s">
        <v>1174</v>
      </c>
      <c r="B363" s="242" t="s">
        <v>5</v>
      </c>
      <c r="C363" s="242" t="s">
        <v>360</v>
      </c>
      <c r="D363" s="242" t="s">
        <v>1175</v>
      </c>
      <c r="E363" s="242"/>
      <c r="F363" s="243">
        <v>92808.38</v>
      </c>
      <c r="G363" s="243">
        <v>92808.38</v>
      </c>
      <c r="H363" s="243">
        <f t="shared" si="11"/>
        <v>100</v>
      </c>
      <c r="I363" s="123" t="str">
        <f t="shared" si="10"/>
        <v>04121220080010</v>
      </c>
    </row>
    <row r="364" spans="1:9" ht="25.5">
      <c r="A364" s="241" t="s">
        <v>1319</v>
      </c>
      <c r="B364" s="242" t="s">
        <v>5</v>
      </c>
      <c r="C364" s="242" t="s">
        <v>360</v>
      </c>
      <c r="D364" s="242" t="s">
        <v>1175</v>
      </c>
      <c r="E364" s="242" t="s">
        <v>1320</v>
      </c>
      <c r="F364" s="243">
        <v>92808.38</v>
      </c>
      <c r="G364" s="243">
        <v>92808.38</v>
      </c>
      <c r="H364" s="243">
        <f t="shared" si="11"/>
        <v>100</v>
      </c>
      <c r="I364" s="123" t="str">
        <f t="shared" si="10"/>
        <v>04121220080010200</v>
      </c>
    </row>
    <row r="365" spans="1:9" ht="25.5">
      <c r="A365" s="241" t="s">
        <v>1196</v>
      </c>
      <c r="B365" s="242" t="s">
        <v>5</v>
      </c>
      <c r="C365" s="242" t="s">
        <v>360</v>
      </c>
      <c r="D365" s="242" t="s">
        <v>1175</v>
      </c>
      <c r="E365" s="242" t="s">
        <v>1197</v>
      </c>
      <c r="F365" s="243">
        <v>92808.38</v>
      </c>
      <c r="G365" s="243">
        <v>92808.38</v>
      </c>
      <c r="H365" s="243">
        <f t="shared" si="11"/>
        <v>100</v>
      </c>
      <c r="I365" s="123" t="str">
        <f t="shared" si="10"/>
        <v>04121220080010240</v>
      </c>
    </row>
    <row r="366" spans="1:9">
      <c r="A366" s="241" t="s">
        <v>1223</v>
      </c>
      <c r="B366" s="242" t="s">
        <v>5</v>
      </c>
      <c r="C366" s="242" t="s">
        <v>360</v>
      </c>
      <c r="D366" s="242" t="s">
        <v>1175</v>
      </c>
      <c r="E366" s="242" t="s">
        <v>329</v>
      </c>
      <c r="F366" s="243">
        <v>92808.38</v>
      </c>
      <c r="G366" s="243">
        <v>92808.38</v>
      </c>
      <c r="H366" s="243">
        <f t="shared" si="11"/>
        <v>100</v>
      </c>
      <c r="I366" s="123" t="str">
        <f t="shared" si="10"/>
        <v>04121220080010244</v>
      </c>
    </row>
    <row r="367" spans="1:9">
      <c r="A367" s="241" t="s">
        <v>239</v>
      </c>
      <c r="B367" s="242" t="s">
        <v>5</v>
      </c>
      <c r="C367" s="242" t="s">
        <v>1141</v>
      </c>
      <c r="D367" s="242"/>
      <c r="E367" s="242"/>
      <c r="F367" s="243">
        <v>238130499</v>
      </c>
      <c r="G367" s="243">
        <v>237213111.80000001</v>
      </c>
      <c r="H367" s="243">
        <f t="shared" si="11"/>
        <v>99.614754429251008</v>
      </c>
      <c r="I367" s="123" t="str">
        <f t="shared" si="10"/>
        <v>0500</v>
      </c>
    </row>
    <row r="368" spans="1:9">
      <c r="A368" s="241" t="s">
        <v>146</v>
      </c>
      <c r="B368" s="242" t="s">
        <v>5</v>
      </c>
      <c r="C368" s="242" t="s">
        <v>364</v>
      </c>
      <c r="D368" s="242"/>
      <c r="E368" s="242"/>
      <c r="F368" s="243">
        <v>234830999</v>
      </c>
      <c r="G368" s="243">
        <v>234776042</v>
      </c>
      <c r="H368" s="243">
        <f t="shared" si="11"/>
        <v>99.976597212363771</v>
      </c>
      <c r="I368" s="123" t="str">
        <f t="shared" si="10"/>
        <v>0502</v>
      </c>
    </row>
    <row r="369" spans="1:9" ht="38.25">
      <c r="A369" s="241" t="s">
        <v>452</v>
      </c>
      <c r="B369" s="242" t="s">
        <v>5</v>
      </c>
      <c r="C369" s="242" t="s">
        <v>364</v>
      </c>
      <c r="D369" s="242" t="s">
        <v>974</v>
      </c>
      <c r="E369" s="242"/>
      <c r="F369" s="243">
        <v>234776042</v>
      </c>
      <c r="G369" s="243">
        <v>234776042</v>
      </c>
      <c r="H369" s="243">
        <f t="shared" si="11"/>
        <v>100</v>
      </c>
      <c r="I369" s="123" t="str">
        <f t="shared" ref="I369:I429" si="12">CONCATENATE(C369,D369,E369)</f>
        <v>05020300000000</v>
      </c>
    </row>
    <row r="370" spans="1:9" ht="38.25">
      <c r="A370" s="241" t="s">
        <v>591</v>
      </c>
      <c r="B370" s="242" t="s">
        <v>5</v>
      </c>
      <c r="C370" s="242" t="s">
        <v>364</v>
      </c>
      <c r="D370" s="242" t="s">
        <v>975</v>
      </c>
      <c r="E370" s="242"/>
      <c r="F370" s="243">
        <v>234776042</v>
      </c>
      <c r="G370" s="243">
        <v>234776042</v>
      </c>
      <c r="H370" s="243">
        <f t="shared" si="11"/>
        <v>100</v>
      </c>
      <c r="I370" s="123" t="str">
        <f t="shared" si="12"/>
        <v>05020320000000</v>
      </c>
    </row>
    <row r="371" spans="1:9" ht="102">
      <c r="A371" s="241" t="s">
        <v>1161</v>
      </c>
      <c r="B371" s="242" t="s">
        <v>5</v>
      </c>
      <c r="C371" s="242" t="s">
        <v>364</v>
      </c>
      <c r="D371" s="242" t="s">
        <v>679</v>
      </c>
      <c r="E371" s="242"/>
      <c r="F371" s="243">
        <v>211790900</v>
      </c>
      <c r="G371" s="243">
        <v>211790900</v>
      </c>
      <c r="H371" s="243">
        <f t="shared" si="11"/>
        <v>100</v>
      </c>
      <c r="I371" s="123" t="str">
        <f t="shared" si="12"/>
        <v>05020320075700</v>
      </c>
    </row>
    <row r="372" spans="1:9">
      <c r="A372" s="241" t="s">
        <v>1321</v>
      </c>
      <c r="B372" s="242" t="s">
        <v>5</v>
      </c>
      <c r="C372" s="242" t="s">
        <v>364</v>
      </c>
      <c r="D372" s="242" t="s">
        <v>679</v>
      </c>
      <c r="E372" s="242" t="s">
        <v>1322</v>
      </c>
      <c r="F372" s="243">
        <v>211790900</v>
      </c>
      <c r="G372" s="243">
        <v>211790900</v>
      </c>
      <c r="H372" s="243">
        <f t="shared" si="11"/>
        <v>100</v>
      </c>
      <c r="I372" s="123" t="str">
        <f t="shared" si="12"/>
        <v>05020320075700800</v>
      </c>
    </row>
    <row r="373" spans="1:9" ht="51">
      <c r="A373" s="241" t="s">
        <v>1206</v>
      </c>
      <c r="B373" s="242" t="s">
        <v>5</v>
      </c>
      <c r="C373" s="242" t="s">
        <v>364</v>
      </c>
      <c r="D373" s="242" t="s">
        <v>679</v>
      </c>
      <c r="E373" s="242" t="s">
        <v>354</v>
      </c>
      <c r="F373" s="243">
        <v>211790900</v>
      </c>
      <c r="G373" s="243">
        <v>211790900</v>
      </c>
      <c r="H373" s="243">
        <f t="shared" si="11"/>
        <v>100</v>
      </c>
      <c r="I373" s="123" t="str">
        <f t="shared" si="12"/>
        <v>05020320075700810</v>
      </c>
    </row>
    <row r="374" spans="1:9" ht="51">
      <c r="A374" s="241" t="s">
        <v>1225</v>
      </c>
      <c r="B374" s="242" t="s">
        <v>5</v>
      </c>
      <c r="C374" s="242" t="s">
        <v>364</v>
      </c>
      <c r="D374" s="242" t="s">
        <v>679</v>
      </c>
      <c r="E374" s="242" t="s">
        <v>1226</v>
      </c>
      <c r="F374" s="243">
        <v>211790900</v>
      </c>
      <c r="G374" s="243">
        <v>211790900</v>
      </c>
      <c r="H374" s="243">
        <f t="shared" si="11"/>
        <v>100</v>
      </c>
      <c r="I374" s="123" t="str">
        <f t="shared" si="12"/>
        <v>05020320075700811</v>
      </c>
    </row>
    <row r="375" spans="1:9" ht="153">
      <c r="A375" s="241" t="s">
        <v>1345</v>
      </c>
      <c r="B375" s="242" t="s">
        <v>5</v>
      </c>
      <c r="C375" s="242" t="s">
        <v>364</v>
      </c>
      <c r="D375" s="242" t="s">
        <v>678</v>
      </c>
      <c r="E375" s="242"/>
      <c r="F375" s="243">
        <v>18652300</v>
      </c>
      <c r="G375" s="243">
        <v>18652300</v>
      </c>
      <c r="H375" s="243">
        <f t="shared" si="11"/>
        <v>100</v>
      </c>
      <c r="I375" s="123" t="str">
        <f t="shared" si="12"/>
        <v>05020320075770</v>
      </c>
    </row>
    <row r="376" spans="1:9">
      <c r="A376" s="241" t="s">
        <v>1321</v>
      </c>
      <c r="B376" s="242" t="s">
        <v>5</v>
      </c>
      <c r="C376" s="242" t="s">
        <v>364</v>
      </c>
      <c r="D376" s="242" t="s">
        <v>678</v>
      </c>
      <c r="E376" s="242" t="s">
        <v>1322</v>
      </c>
      <c r="F376" s="243">
        <v>18652300</v>
      </c>
      <c r="G376" s="243">
        <v>18652300</v>
      </c>
      <c r="H376" s="243">
        <f t="shared" si="11"/>
        <v>100</v>
      </c>
      <c r="I376" s="123" t="str">
        <f t="shared" si="12"/>
        <v>05020320075770800</v>
      </c>
    </row>
    <row r="377" spans="1:9" ht="51">
      <c r="A377" s="241" t="s">
        <v>1206</v>
      </c>
      <c r="B377" s="242" t="s">
        <v>5</v>
      </c>
      <c r="C377" s="242" t="s">
        <v>364</v>
      </c>
      <c r="D377" s="242" t="s">
        <v>678</v>
      </c>
      <c r="E377" s="242" t="s">
        <v>354</v>
      </c>
      <c r="F377" s="243">
        <v>18652300</v>
      </c>
      <c r="G377" s="243">
        <v>18652300</v>
      </c>
      <c r="H377" s="243">
        <f t="shared" si="11"/>
        <v>100</v>
      </c>
      <c r="I377" s="123" t="str">
        <f t="shared" si="12"/>
        <v>05020320075770810</v>
      </c>
    </row>
    <row r="378" spans="1:9" ht="51">
      <c r="A378" s="241" t="s">
        <v>1225</v>
      </c>
      <c r="B378" s="242" t="s">
        <v>5</v>
      </c>
      <c r="C378" s="242" t="s">
        <v>364</v>
      </c>
      <c r="D378" s="242" t="s">
        <v>678</v>
      </c>
      <c r="E378" s="242" t="s">
        <v>1226</v>
      </c>
      <c r="F378" s="243">
        <v>18652300</v>
      </c>
      <c r="G378" s="243">
        <v>18652300</v>
      </c>
      <c r="H378" s="243">
        <f t="shared" si="11"/>
        <v>100</v>
      </c>
      <c r="I378" s="123" t="str">
        <f t="shared" si="12"/>
        <v>05020320075770811</v>
      </c>
    </row>
    <row r="379" spans="1:9" ht="165.75">
      <c r="A379" s="241" t="s">
        <v>2199</v>
      </c>
      <c r="B379" s="242" t="s">
        <v>5</v>
      </c>
      <c r="C379" s="242" t="s">
        <v>364</v>
      </c>
      <c r="D379" s="242" t="s">
        <v>2200</v>
      </c>
      <c r="E379" s="242"/>
      <c r="F379" s="243">
        <v>1531700</v>
      </c>
      <c r="G379" s="243">
        <v>1531700</v>
      </c>
      <c r="H379" s="243">
        <f t="shared" si="11"/>
        <v>100</v>
      </c>
      <c r="I379" s="123" t="str">
        <f t="shared" si="12"/>
        <v>05020320075960</v>
      </c>
    </row>
    <row r="380" spans="1:9">
      <c r="A380" s="241" t="s">
        <v>1321</v>
      </c>
      <c r="B380" s="242" t="s">
        <v>5</v>
      </c>
      <c r="C380" s="242" t="s">
        <v>364</v>
      </c>
      <c r="D380" s="242" t="s">
        <v>2200</v>
      </c>
      <c r="E380" s="242" t="s">
        <v>1322</v>
      </c>
      <c r="F380" s="243">
        <v>1531700</v>
      </c>
      <c r="G380" s="243">
        <v>1531700</v>
      </c>
      <c r="H380" s="243">
        <f t="shared" si="11"/>
        <v>100</v>
      </c>
      <c r="I380" s="123" t="str">
        <f t="shared" si="12"/>
        <v>05020320075960800</v>
      </c>
    </row>
    <row r="381" spans="1:9" ht="51">
      <c r="A381" s="241" t="s">
        <v>1206</v>
      </c>
      <c r="B381" s="242" t="s">
        <v>5</v>
      </c>
      <c r="C381" s="242" t="s">
        <v>364</v>
      </c>
      <c r="D381" s="242" t="s">
        <v>2200</v>
      </c>
      <c r="E381" s="242" t="s">
        <v>354</v>
      </c>
      <c r="F381" s="243">
        <v>1531700</v>
      </c>
      <c r="G381" s="243">
        <v>1531700</v>
      </c>
      <c r="H381" s="243">
        <f t="shared" si="11"/>
        <v>100</v>
      </c>
      <c r="I381" s="123" t="str">
        <f t="shared" si="12"/>
        <v>05020320075960810</v>
      </c>
    </row>
    <row r="382" spans="1:9" ht="51">
      <c r="A382" s="241" t="s">
        <v>1225</v>
      </c>
      <c r="B382" s="242" t="s">
        <v>5</v>
      </c>
      <c r="C382" s="242" t="s">
        <v>364</v>
      </c>
      <c r="D382" s="242" t="s">
        <v>2200</v>
      </c>
      <c r="E382" s="242" t="s">
        <v>1226</v>
      </c>
      <c r="F382" s="243">
        <v>1531700</v>
      </c>
      <c r="G382" s="243">
        <v>1531700</v>
      </c>
      <c r="H382" s="243">
        <f t="shared" si="11"/>
        <v>100</v>
      </c>
      <c r="I382" s="123" t="str">
        <f t="shared" si="12"/>
        <v>05020320075960811</v>
      </c>
    </row>
    <row r="383" spans="1:9" ht="127.5">
      <c r="A383" s="241" t="s">
        <v>2201</v>
      </c>
      <c r="B383" s="242" t="s">
        <v>5</v>
      </c>
      <c r="C383" s="242" t="s">
        <v>364</v>
      </c>
      <c r="D383" s="242" t="s">
        <v>2202</v>
      </c>
      <c r="E383" s="242"/>
      <c r="F383" s="243">
        <v>2000000</v>
      </c>
      <c r="G383" s="243">
        <v>2000000</v>
      </c>
      <c r="H383" s="243">
        <f t="shared" si="11"/>
        <v>100</v>
      </c>
      <c r="I383" s="123" t="str">
        <f t="shared" si="12"/>
        <v>05020320080010</v>
      </c>
    </row>
    <row r="384" spans="1:9">
      <c r="A384" s="241" t="s">
        <v>1321</v>
      </c>
      <c r="B384" s="242" t="s">
        <v>5</v>
      </c>
      <c r="C384" s="242" t="s">
        <v>364</v>
      </c>
      <c r="D384" s="242" t="s">
        <v>2202</v>
      </c>
      <c r="E384" s="242" t="s">
        <v>1322</v>
      </c>
      <c r="F384" s="243">
        <v>2000000</v>
      </c>
      <c r="G384" s="243">
        <v>2000000</v>
      </c>
      <c r="H384" s="243">
        <f t="shared" si="11"/>
        <v>100</v>
      </c>
      <c r="I384" s="123" t="str">
        <f t="shared" si="12"/>
        <v>05020320080010800</v>
      </c>
    </row>
    <row r="385" spans="1:9" ht="51">
      <c r="A385" s="241" t="s">
        <v>1206</v>
      </c>
      <c r="B385" s="242" t="s">
        <v>5</v>
      </c>
      <c r="C385" s="242" t="s">
        <v>364</v>
      </c>
      <c r="D385" s="242" t="s">
        <v>2202</v>
      </c>
      <c r="E385" s="242" t="s">
        <v>354</v>
      </c>
      <c r="F385" s="243">
        <v>2000000</v>
      </c>
      <c r="G385" s="243">
        <v>2000000</v>
      </c>
      <c r="H385" s="243">
        <f t="shared" si="11"/>
        <v>100</v>
      </c>
      <c r="I385" s="123" t="str">
        <f t="shared" si="12"/>
        <v>05020320080010810</v>
      </c>
    </row>
    <row r="386" spans="1:9" ht="51">
      <c r="A386" s="241" t="s">
        <v>1225</v>
      </c>
      <c r="B386" s="242" t="s">
        <v>5</v>
      </c>
      <c r="C386" s="242" t="s">
        <v>364</v>
      </c>
      <c r="D386" s="242" t="s">
        <v>2202</v>
      </c>
      <c r="E386" s="242" t="s">
        <v>1226</v>
      </c>
      <c r="F386" s="243">
        <v>2000000</v>
      </c>
      <c r="G386" s="243">
        <v>2000000</v>
      </c>
      <c r="H386" s="243">
        <f t="shared" si="11"/>
        <v>100</v>
      </c>
      <c r="I386" s="123" t="str">
        <f t="shared" si="12"/>
        <v>05020320080010811</v>
      </c>
    </row>
    <row r="387" spans="1:9" ht="153">
      <c r="A387" s="241" t="s">
        <v>2219</v>
      </c>
      <c r="B387" s="242" t="s">
        <v>5</v>
      </c>
      <c r="C387" s="242" t="s">
        <v>364</v>
      </c>
      <c r="D387" s="242" t="s">
        <v>2220</v>
      </c>
      <c r="E387" s="242"/>
      <c r="F387" s="243">
        <v>801142</v>
      </c>
      <c r="G387" s="243">
        <v>801142</v>
      </c>
      <c r="H387" s="243">
        <f t="shared" si="11"/>
        <v>100</v>
      </c>
      <c r="I387" s="123" t="str">
        <f t="shared" si="12"/>
        <v>05020320080020</v>
      </c>
    </row>
    <row r="388" spans="1:9">
      <c r="A388" s="241" t="s">
        <v>1321</v>
      </c>
      <c r="B388" s="242" t="s">
        <v>5</v>
      </c>
      <c r="C388" s="242" t="s">
        <v>364</v>
      </c>
      <c r="D388" s="242" t="s">
        <v>2220</v>
      </c>
      <c r="E388" s="242" t="s">
        <v>1322</v>
      </c>
      <c r="F388" s="243">
        <v>801142</v>
      </c>
      <c r="G388" s="243">
        <v>801142</v>
      </c>
      <c r="H388" s="243">
        <f t="shared" si="11"/>
        <v>100</v>
      </c>
      <c r="I388" s="123" t="str">
        <f t="shared" si="12"/>
        <v>05020320080020800</v>
      </c>
    </row>
    <row r="389" spans="1:9" ht="51">
      <c r="A389" s="241" t="s">
        <v>1206</v>
      </c>
      <c r="B389" s="242" t="s">
        <v>5</v>
      </c>
      <c r="C389" s="242" t="s">
        <v>364</v>
      </c>
      <c r="D389" s="242" t="s">
        <v>2220</v>
      </c>
      <c r="E389" s="242" t="s">
        <v>354</v>
      </c>
      <c r="F389" s="243">
        <v>801142</v>
      </c>
      <c r="G389" s="243">
        <v>801142</v>
      </c>
      <c r="H389" s="243">
        <f t="shared" si="11"/>
        <v>100</v>
      </c>
      <c r="I389" s="123" t="str">
        <f t="shared" si="12"/>
        <v>05020320080020810</v>
      </c>
    </row>
    <row r="390" spans="1:9" ht="51">
      <c r="A390" s="241" t="s">
        <v>1225</v>
      </c>
      <c r="B390" s="242" t="s">
        <v>5</v>
      </c>
      <c r="C390" s="242" t="s">
        <v>364</v>
      </c>
      <c r="D390" s="242" t="s">
        <v>2220</v>
      </c>
      <c r="E390" s="242" t="s">
        <v>1226</v>
      </c>
      <c r="F390" s="243">
        <v>801142</v>
      </c>
      <c r="G390" s="243">
        <v>801142</v>
      </c>
      <c r="H390" s="243">
        <f t="shared" ref="H390:H453" si="13">G390/F390*100</f>
        <v>100</v>
      </c>
      <c r="I390" s="123" t="str">
        <f t="shared" si="12"/>
        <v>05020320080020811</v>
      </c>
    </row>
    <row r="391" spans="1:9" ht="25.5">
      <c r="A391" s="241" t="s">
        <v>601</v>
      </c>
      <c r="B391" s="242" t="s">
        <v>5</v>
      </c>
      <c r="C391" s="242" t="s">
        <v>364</v>
      </c>
      <c r="D391" s="242" t="s">
        <v>1011</v>
      </c>
      <c r="E391" s="242"/>
      <c r="F391" s="243">
        <v>54957</v>
      </c>
      <c r="G391" s="243">
        <v>0</v>
      </c>
      <c r="H391" s="243">
        <f t="shared" si="13"/>
        <v>0</v>
      </c>
      <c r="I391" s="123" t="str">
        <f t="shared" si="12"/>
        <v>05029000000000</v>
      </c>
    </row>
    <row r="392" spans="1:9" ht="25.5">
      <c r="A392" s="241" t="s">
        <v>431</v>
      </c>
      <c r="B392" s="242" t="s">
        <v>5</v>
      </c>
      <c r="C392" s="242" t="s">
        <v>364</v>
      </c>
      <c r="D392" s="242" t="s">
        <v>1015</v>
      </c>
      <c r="E392" s="242"/>
      <c r="F392" s="243">
        <v>54957</v>
      </c>
      <c r="G392" s="243">
        <v>0</v>
      </c>
      <c r="H392" s="243">
        <f t="shared" si="13"/>
        <v>0</v>
      </c>
      <c r="I392" s="123" t="str">
        <f t="shared" si="12"/>
        <v>05029090000000</v>
      </c>
    </row>
    <row r="393" spans="1:9" ht="51">
      <c r="A393" s="241" t="s">
        <v>680</v>
      </c>
      <c r="B393" s="242" t="s">
        <v>5</v>
      </c>
      <c r="C393" s="242" t="s">
        <v>364</v>
      </c>
      <c r="D393" s="242" t="s">
        <v>681</v>
      </c>
      <c r="E393" s="242"/>
      <c r="F393" s="243">
        <v>54957</v>
      </c>
      <c r="G393" s="243">
        <v>0</v>
      </c>
      <c r="H393" s="243">
        <f t="shared" si="13"/>
        <v>0</v>
      </c>
      <c r="I393" s="123" t="str">
        <f t="shared" si="12"/>
        <v>050290900Ш0000</v>
      </c>
    </row>
    <row r="394" spans="1:9" ht="25.5">
      <c r="A394" s="241" t="s">
        <v>1319</v>
      </c>
      <c r="B394" s="242" t="s">
        <v>5</v>
      </c>
      <c r="C394" s="242" t="s">
        <v>364</v>
      </c>
      <c r="D394" s="242" t="s">
        <v>681</v>
      </c>
      <c r="E394" s="242" t="s">
        <v>1320</v>
      </c>
      <c r="F394" s="243">
        <v>54957</v>
      </c>
      <c r="G394" s="243">
        <v>0</v>
      </c>
      <c r="H394" s="243">
        <f t="shared" si="13"/>
        <v>0</v>
      </c>
      <c r="I394" s="123" t="str">
        <f t="shared" si="12"/>
        <v>050290900Ш0000200</v>
      </c>
    </row>
    <row r="395" spans="1:9" ht="25.5">
      <c r="A395" s="241" t="s">
        <v>1196</v>
      </c>
      <c r="B395" s="242" t="s">
        <v>5</v>
      </c>
      <c r="C395" s="242" t="s">
        <v>364</v>
      </c>
      <c r="D395" s="242" t="s">
        <v>681</v>
      </c>
      <c r="E395" s="242" t="s">
        <v>1197</v>
      </c>
      <c r="F395" s="243">
        <v>54957</v>
      </c>
      <c r="G395" s="243">
        <v>0</v>
      </c>
      <c r="H395" s="243">
        <f t="shared" si="13"/>
        <v>0</v>
      </c>
      <c r="I395" s="123" t="str">
        <f t="shared" si="12"/>
        <v>050290900Ш0000240</v>
      </c>
    </row>
    <row r="396" spans="1:9">
      <c r="A396" s="241" t="s">
        <v>1223</v>
      </c>
      <c r="B396" s="242" t="s">
        <v>5</v>
      </c>
      <c r="C396" s="242" t="s">
        <v>364</v>
      </c>
      <c r="D396" s="242" t="s">
        <v>681</v>
      </c>
      <c r="E396" s="242" t="s">
        <v>329</v>
      </c>
      <c r="F396" s="243">
        <v>54957</v>
      </c>
      <c r="G396" s="243">
        <v>0</v>
      </c>
      <c r="H396" s="243">
        <f t="shared" si="13"/>
        <v>0</v>
      </c>
      <c r="I396" s="123" t="str">
        <f t="shared" si="12"/>
        <v>050290900Ш0000244</v>
      </c>
    </row>
    <row r="397" spans="1:9">
      <c r="A397" s="241" t="s">
        <v>37</v>
      </c>
      <c r="B397" s="242" t="s">
        <v>5</v>
      </c>
      <c r="C397" s="242" t="s">
        <v>388</v>
      </c>
      <c r="D397" s="242"/>
      <c r="E397" s="242"/>
      <c r="F397" s="243">
        <v>3299500</v>
      </c>
      <c r="G397" s="243">
        <v>2437069.7999999998</v>
      </c>
      <c r="H397" s="243">
        <f t="shared" si="13"/>
        <v>73.861791180481887</v>
      </c>
      <c r="I397" s="123" t="str">
        <f t="shared" si="12"/>
        <v>0503</v>
      </c>
    </row>
    <row r="398" spans="1:9" ht="25.5">
      <c r="A398" s="241" t="s">
        <v>1708</v>
      </c>
      <c r="B398" s="242" t="s">
        <v>5</v>
      </c>
      <c r="C398" s="242" t="s">
        <v>388</v>
      </c>
      <c r="D398" s="242" t="s">
        <v>1709</v>
      </c>
      <c r="E398" s="242"/>
      <c r="F398" s="243">
        <v>3299500</v>
      </c>
      <c r="G398" s="243">
        <v>2437069.7999999998</v>
      </c>
      <c r="H398" s="243">
        <f t="shared" si="13"/>
        <v>73.861791180481887</v>
      </c>
      <c r="I398" s="123" t="str">
        <f t="shared" si="12"/>
        <v>05030200000000</v>
      </c>
    </row>
    <row r="399" spans="1:9" ht="25.5">
      <c r="A399" s="241" t="s">
        <v>822</v>
      </c>
      <c r="B399" s="242" t="s">
        <v>5</v>
      </c>
      <c r="C399" s="242" t="s">
        <v>388</v>
      </c>
      <c r="D399" s="242" t="s">
        <v>1710</v>
      </c>
      <c r="E399" s="242"/>
      <c r="F399" s="243">
        <v>3299500</v>
      </c>
      <c r="G399" s="243">
        <v>2437069.7999999998</v>
      </c>
      <c r="H399" s="243">
        <f t="shared" si="13"/>
        <v>73.861791180481887</v>
      </c>
      <c r="I399" s="123" t="str">
        <f t="shared" si="12"/>
        <v>05030210000000</v>
      </c>
    </row>
    <row r="400" spans="1:9" ht="63.75">
      <c r="A400" s="241" t="s">
        <v>1711</v>
      </c>
      <c r="B400" s="242" t="s">
        <v>5</v>
      </c>
      <c r="C400" s="242" t="s">
        <v>388</v>
      </c>
      <c r="D400" s="242" t="s">
        <v>1712</v>
      </c>
      <c r="E400" s="242"/>
      <c r="F400" s="243">
        <v>3299500</v>
      </c>
      <c r="G400" s="243">
        <v>2437069.7999999998</v>
      </c>
      <c r="H400" s="243">
        <f t="shared" si="13"/>
        <v>73.861791180481887</v>
      </c>
      <c r="I400" s="123" t="str">
        <f t="shared" si="12"/>
        <v>05030210080020</v>
      </c>
    </row>
    <row r="401" spans="1:9" ht="25.5">
      <c r="A401" s="241" t="s">
        <v>1319</v>
      </c>
      <c r="B401" s="242" t="s">
        <v>5</v>
      </c>
      <c r="C401" s="242" t="s">
        <v>388</v>
      </c>
      <c r="D401" s="242" t="s">
        <v>1712</v>
      </c>
      <c r="E401" s="242" t="s">
        <v>1320</v>
      </c>
      <c r="F401" s="243">
        <v>3299500</v>
      </c>
      <c r="G401" s="243">
        <v>2437069.7999999998</v>
      </c>
      <c r="H401" s="243">
        <f t="shared" si="13"/>
        <v>73.861791180481887</v>
      </c>
      <c r="I401" s="123" t="str">
        <f t="shared" si="12"/>
        <v>05030210080020200</v>
      </c>
    </row>
    <row r="402" spans="1:9" ht="25.5">
      <c r="A402" s="241" t="s">
        <v>1196</v>
      </c>
      <c r="B402" s="242" t="s">
        <v>5</v>
      </c>
      <c r="C402" s="242" t="s">
        <v>388</v>
      </c>
      <c r="D402" s="242" t="s">
        <v>1712</v>
      </c>
      <c r="E402" s="242" t="s">
        <v>1197</v>
      </c>
      <c r="F402" s="243">
        <v>3299500</v>
      </c>
      <c r="G402" s="243">
        <v>2437069.7999999998</v>
      </c>
      <c r="H402" s="243">
        <f t="shared" si="13"/>
        <v>73.861791180481887</v>
      </c>
      <c r="I402" s="123" t="str">
        <f t="shared" si="12"/>
        <v>05030210080020240</v>
      </c>
    </row>
    <row r="403" spans="1:9">
      <c r="A403" s="241" t="s">
        <v>1223</v>
      </c>
      <c r="B403" s="242" t="s">
        <v>5</v>
      </c>
      <c r="C403" s="242" t="s">
        <v>388</v>
      </c>
      <c r="D403" s="242" t="s">
        <v>1712</v>
      </c>
      <c r="E403" s="242" t="s">
        <v>329</v>
      </c>
      <c r="F403" s="243">
        <v>3299500</v>
      </c>
      <c r="G403" s="243">
        <v>2437069.7999999998</v>
      </c>
      <c r="H403" s="243">
        <f t="shared" si="13"/>
        <v>73.861791180481887</v>
      </c>
      <c r="I403" s="123" t="str">
        <f t="shared" si="12"/>
        <v>05030210080020244</v>
      </c>
    </row>
    <row r="404" spans="1:9">
      <c r="A404" s="241" t="s">
        <v>1646</v>
      </c>
      <c r="B404" s="242" t="s">
        <v>5</v>
      </c>
      <c r="C404" s="242" t="s">
        <v>1647</v>
      </c>
      <c r="D404" s="242"/>
      <c r="E404" s="242"/>
      <c r="F404" s="243">
        <v>2416147</v>
      </c>
      <c r="G404" s="243">
        <v>2413243.67</v>
      </c>
      <c r="H404" s="243">
        <f t="shared" si="13"/>
        <v>99.879836367572011</v>
      </c>
      <c r="I404" s="123" t="str">
        <f t="shared" si="12"/>
        <v>0600</v>
      </c>
    </row>
    <row r="405" spans="1:9" ht="25.5">
      <c r="A405" s="241" t="s">
        <v>1713</v>
      </c>
      <c r="B405" s="242" t="s">
        <v>5</v>
      </c>
      <c r="C405" s="242" t="s">
        <v>1714</v>
      </c>
      <c r="D405" s="242"/>
      <c r="E405" s="242"/>
      <c r="F405" s="243">
        <v>1823377</v>
      </c>
      <c r="G405" s="243">
        <v>1823064.22</v>
      </c>
      <c r="H405" s="243">
        <f t="shared" si="13"/>
        <v>99.982846114654294</v>
      </c>
      <c r="I405" s="123" t="str">
        <f t="shared" si="12"/>
        <v>0603</v>
      </c>
    </row>
    <row r="406" spans="1:9" ht="25.5">
      <c r="A406" s="241" t="s">
        <v>1708</v>
      </c>
      <c r="B406" s="242" t="s">
        <v>5</v>
      </c>
      <c r="C406" s="242" t="s">
        <v>1714</v>
      </c>
      <c r="D406" s="242" t="s">
        <v>1709</v>
      </c>
      <c r="E406" s="242"/>
      <c r="F406" s="243">
        <v>1823377</v>
      </c>
      <c r="G406" s="243">
        <v>1823064.22</v>
      </c>
      <c r="H406" s="243">
        <f t="shared" si="13"/>
        <v>99.982846114654294</v>
      </c>
      <c r="I406" s="123" t="str">
        <f t="shared" si="12"/>
        <v>06030200000000</v>
      </c>
    </row>
    <row r="407" spans="1:9" ht="25.5">
      <c r="A407" s="241" t="s">
        <v>1715</v>
      </c>
      <c r="B407" s="242" t="s">
        <v>5</v>
      </c>
      <c r="C407" s="242" t="s">
        <v>1714</v>
      </c>
      <c r="D407" s="242" t="s">
        <v>1716</v>
      </c>
      <c r="E407" s="242"/>
      <c r="F407" s="243">
        <v>1823377</v>
      </c>
      <c r="G407" s="243">
        <v>1823064.22</v>
      </c>
      <c r="H407" s="243">
        <f t="shared" si="13"/>
        <v>99.982846114654294</v>
      </c>
      <c r="I407" s="123" t="str">
        <f t="shared" si="12"/>
        <v>06030220000000</v>
      </c>
    </row>
    <row r="408" spans="1:9" ht="76.5">
      <c r="A408" s="241" t="s">
        <v>1717</v>
      </c>
      <c r="B408" s="242" t="s">
        <v>5</v>
      </c>
      <c r="C408" s="242" t="s">
        <v>1714</v>
      </c>
      <c r="D408" s="242" t="s">
        <v>1718</v>
      </c>
      <c r="E408" s="242"/>
      <c r="F408" s="243">
        <v>1823377</v>
      </c>
      <c r="G408" s="243">
        <v>1823064.22</v>
      </c>
      <c r="H408" s="243">
        <f t="shared" si="13"/>
        <v>99.982846114654294</v>
      </c>
      <c r="I408" s="123" t="str">
        <f t="shared" si="12"/>
        <v>06030220075180</v>
      </c>
    </row>
    <row r="409" spans="1:9" ht="63.75">
      <c r="A409" s="241" t="s">
        <v>1318</v>
      </c>
      <c r="B409" s="242" t="s">
        <v>5</v>
      </c>
      <c r="C409" s="242" t="s">
        <v>1714</v>
      </c>
      <c r="D409" s="242" t="s">
        <v>1718</v>
      </c>
      <c r="E409" s="242" t="s">
        <v>273</v>
      </c>
      <c r="F409" s="243">
        <v>89177</v>
      </c>
      <c r="G409" s="243">
        <v>89177</v>
      </c>
      <c r="H409" s="243">
        <f t="shared" si="13"/>
        <v>100</v>
      </c>
      <c r="I409" s="123" t="str">
        <f t="shared" si="12"/>
        <v>06030220075180100</v>
      </c>
    </row>
    <row r="410" spans="1:9" ht="25.5">
      <c r="A410" s="241" t="s">
        <v>1203</v>
      </c>
      <c r="B410" s="242" t="s">
        <v>5</v>
      </c>
      <c r="C410" s="242" t="s">
        <v>1714</v>
      </c>
      <c r="D410" s="242" t="s">
        <v>1718</v>
      </c>
      <c r="E410" s="242" t="s">
        <v>28</v>
      </c>
      <c r="F410" s="243">
        <v>89177</v>
      </c>
      <c r="G410" s="243">
        <v>89177</v>
      </c>
      <c r="H410" s="243">
        <f t="shared" si="13"/>
        <v>100</v>
      </c>
      <c r="I410" s="123" t="str">
        <f t="shared" si="12"/>
        <v>06030220075180120</v>
      </c>
    </row>
    <row r="411" spans="1:9" ht="25.5">
      <c r="A411" s="241" t="s">
        <v>953</v>
      </c>
      <c r="B411" s="242" t="s">
        <v>5</v>
      </c>
      <c r="C411" s="242" t="s">
        <v>1714</v>
      </c>
      <c r="D411" s="242" t="s">
        <v>1718</v>
      </c>
      <c r="E411" s="242" t="s">
        <v>324</v>
      </c>
      <c r="F411" s="243">
        <v>68504</v>
      </c>
      <c r="G411" s="243">
        <v>68504</v>
      </c>
      <c r="H411" s="243">
        <f t="shared" si="13"/>
        <v>100</v>
      </c>
      <c r="I411" s="123" t="str">
        <f t="shared" si="12"/>
        <v>06030220075180121</v>
      </c>
    </row>
    <row r="412" spans="1:9" ht="38.25">
      <c r="A412" s="241" t="s">
        <v>1054</v>
      </c>
      <c r="B412" s="242" t="s">
        <v>5</v>
      </c>
      <c r="C412" s="242" t="s">
        <v>1714</v>
      </c>
      <c r="D412" s="242" t="s">
        <v>1718</v>
      </c>
      <c r="E412" s="242" t="s">
        <v>1055</v>
      </c>
      <c r="F412" s="243">
        <v>20673</v>
      </c>
      <c r="G412" s="243">
        <v>20673</v>
      </c>
      <c r="H412" s="243">
        <f t="shared" si="13"/>
        <v>100</v>
      </c>
      <c r="I412" s="123" t="str">
        <f t="shared" si="12"/>
        <v>06030220075180129</v>
      </c>
    </row>
    <row r="413" spans="1:9" ht="25.5">
      <c r="A413" s="241" t="s">
        <v>1319</v>
      </c>
      <c r="B413" s="242" t="s">
        <v>5</v>
      </c>
      <c r="C413" s="242" t="s">
        <v>1714</v>
      </c>
      <c r="D413" s="242" t="s">
        <v>1718</v>
      </c>
      <c r="E413" s="242" t="s">
        <v>1320</v>
      </c>
      <c r="F413" s="243">
        <v>1734200</v>
      </c>
      <c r="G413" s="243">
        <v>1733887.22</v>
      </c>
      <c r="H413" s="243">
        <f t="shared" si="13"/>
        <v>99.981964017991004</v>
      </c>
      <c r="I413" s="123" t="str">
        <f t="shared" si="12"/>
        <v>06030220075180200</v>
      </c>
    </row>
    <row r="414" spans="1:9" ht="25.5">
      <c r="A414" s="241" t="s">
        <v>1196</v>
      </c>
      <c r="B414" s="242" t="s">
        <v>5</v>
      </c>
      <c r="C414" s="242" t="s">
        <v>1714</v>
      </c>
      <c r="D414" s="242" t="s">
        <v>1718</v>
      </c>
      <c r="E414" s="242" t="s">
        <v>1197</v>
      </c>
      <c r="F414" s="243">
        <v>1734200</v>
      </c>
      <c r="G414" s="243">
        <v>1733887.22</v>
      </c>
      <c r="H414" s="243">
        <f t="shared" si="13"/>
        <v>99.981964017991004</v>
      </c>
      <c r="I414" s="123" t="str">
        <f t="shared" si="12"/>
        <v>06030220075180240</v>
      </c>
    </row>
    <row r="415" spans="1:9">
      <c r="A415" s="241" t="s">
        <v>1223</v>
      </c>
      <c r="B415" s="242" t="s">
        <v>5</v>
      </c>
      <c r="C415" s="242" t="s">
        <v>1714</v>
      </c>
      <c r="D415" s="242" t="s">
        <v>1718</v>
      </c>
      <c r="E415" s="242" t="s">
        <v>329</v>
      </c>
      <c r="F415" s="243">
        <v>1734200</v>
      </c>
      <c r="G415" s="243">
        <v>1733887.22</v>
      </c>
      <c r="H415" s="243">
        <f t="shared" si="13"/>
        <v>99.981964017991004</v>
      </c>
      <c r="I415" s="123" t="str">
        <f t="shared" si="12"/>
        <v>06030220075180244</v>
      </c>
    </row>
    <row r="416" spans="1:9">
      <c r="A416" s="241" t="s">
        <v>1648</v>
      </c>
      <c r="B416" s="242" t="s">
        <v>5</v>
      </c>
      <c r="C416" s="242" t="s">
        <v>1649</v>
      </c>
      <c r="D416" s="242"/>
      <c r="E416" s="242"/>
      <c r="F416" s="243">
        <v>592770</v>
      </c>
      <c r="G416" s="243">
        <v>590179.44999999995</v>
      </c>
      <c r="H416" s="243">
        <f t="shared" si="13"/>
        <v>99.56297552170318</v>
      </c>
      <c r="I416" s="123" t="str">
        <f t="shared" si="12"/>
        <v>0605</v>
      </c>
    </row>
    <row r="417" spans="1:9" ht="25.5">
      <c r="A417" s="241" t="s">
        <v>1708</v>
      </c>
      <c r="B417" s="242" t="s">
        <v>5</v>
      </c>
      <c r="C417" s="242" t="s">
        <v>1649</v>
      </c>
      <c r="D417" s="242" t="s">
        <v>1709</v>
      </c>
      <c r="E417" s="242"/>
      <c r="F417" s="243">
        <v>592770</v>
      </c>
      <c r="G417" s="243">
        <v>590179.44999999995</v>
      </c>
      <c r="H417" s="243">
        <f t="shared" si="13"/>
        <v>99.56297552170318</v>
      </c>
      <c r="I417" s="123" t="str">
        <f t="shared" si="12"/>
        <v>06050200000000</v>
      </c>
    </row>
    <row r="418" spans="1:9" ht="25.5">
      <c r="A418" s="241" t="s">
        <v>822</v>
      </c>
      <c r="B418" s="242" t="s">
        <v>5</v>
      </c>
      <c r="C418" s="242" t="s">
        <v>1649</v>
      </c>
      <c r="D418" s="242" t="s">
        <v>1710</v>
      </c>
      <c r="E418" s="242"/>
      <c r="F418" s="243">
        <v>592770</v>
      </c>
      <c r="G418" s="243">
        <v>590179.44999999995</v>
      </c>
      <c r="H418" s="243">
        <f t="shared" si="13"/>
        <v>99.56297552170318</v>
      </c>
      <c r="I418" s="123" t="str">
        <f t="shared" si="12"/>
        <v>06050210000000</v>
      </c>
    </row>
    <row r="419" spans="1:9" ht="102">
      <c r="A419" s="241" t="s">
        <v>1845</v>
      </c>
      <c r="B419" s="242" t="s">
        <v>5</v>
      </c>
      <c r="C419" s="242" t="s">
        <v>1649</v>
      </c>
      <c r="D419" s="242" t="s">
        <v>1846</v>
      </c>
      <c r="E419" s="242"/>
      <c r="F419" s="243">
        <v>61770</v>
      </c>
      <c r="G419" s="243">
        <v>59179.45</v>
      </c>
      <c r="H419" s="243">
        <f t="shared" si="13"/>
        <v>95.806135664562078</v>
      </c>
      <c r="I419" s="123" t="str">
        <f t="shared" si="12"/>
        <v>06050210080040</v>
      </c>
    </row>
    <row r="420" spans="1:9" ht="25.5">
      <c r="A420" s="241" t="s">
        <v>1319</v>
      </c>
      <c r="B420" s="242" t="s">
        <v>5</v>
      </c>
      <c r="C420" s="242" t="s">
        <v>1649</v>
      </c>
      <c r="D420" s="242" t="s">
        <v>1846</v>
      </c>
      <c r="E420" s="242" t="s">
        <v>1320</v>
      </c>
      <c r="F420" s="243">
        <v>61770</v>
      </c>
      <c r="G420" s="243">
        <v>59179.45</v>
      </c>
      <c r="H420" s="243">
        <f t="shared" si="13"/>
        <v>95.806135664562078</v>
      </c>
      <c r="I420" s="123" t="str">
        <f t="shared" si="12"/>
        <v>06050210080040200</v>
      </c>
    </row>
    <row r="421" spans="1:9" ht="25.5">
      <c r="A421" s="241" t="s">
        <v>1196</v>
      </c>
      <c r="B421" s="242" t="s">
        <v>5</v>
      </c>
      <c r="C421" s="242" t="s">
        <v>1649</v>
      </c>
      <c r="D421" s="242" t="s">
        <v>1846</v>
      </c>
      <c r="E421" s="242" t="s">
        <v>1197</v>
      </c>
      <c r="F421" s="243">
        <v>61770</v>
      </c>
      <c r="G421" s="243">
        <v>59179.45</v>
      </c>
      <c r="H421" s="243">
        <f t="shared" si="13"/>
        <v>95.806135664562078</v>
      </c>
      <c r="I421" s="123" t="str">
        <f t="shared" si="12"/>
        <v>06050210080040240</v>
      </c>
    </row>
    <row r="422" spans="1:9">
      <c r="A422" s="241" t="s">
        <v>1223</v>
      </c>
      <c r="B422" s="242" t="s">
        <v>5</v>
      </c>
      <c r="C422" s="242" t="s">
        <v>1649</v>
      </c>
      <c r="D422" s="242" t="s">
        <v>1846</v>
      </c>
      <c r="E422" s="242" t="s">
        <v>329</v>
      </c>
      <c r="F422" s="243">
        <v>61770</v>
      </c>
      <c r="G422" s="243">
        <v>59179.45</v>
      </c>
      <c r="H422" s="243">
        <f t="shared" si="13"/>
        <v>95.806135664562078</v>
      </c>
      <c r="I422" s="123" t="str">
        <f t="shared" si="12"/>
        <v>06050210080040244</v>
      </c>
    </row>
    <row r="423" spans="1:9" ht="63.75">
      <c r="A423" s="241" t="s">
        <v>2139</v>
      </c>
      <c r="B423" s="242" t="s">
        <v>5</v>
      </c>
      <c r="C423" s="242" t="s">
        <v>1649</v>
      </c>
      <c r="D423" s="242" t="s">
        <v>2140</v>
      </c>
      <c r="E423" s="242"/>
      <c r="F423" s="243">
        <v>531000</v>
      </c>
      <c r="G423" s="243">
        <v>531000</v>
      </c>
      <c r="H423" s="243">
        <f t="shared" si="13"/>
        <v>100</v>
      </c>
      <c r="I423" s="123" t="str">
        <f t="shared" si="12"/>
        <v>06050210080050</v>
      </c>
    </row>
    <row r="424" spans="1:9" ht="25.5">
      <c r="A424" s="241" t="s">
        <v>1319</v>
      </c>
      <c r="B424" s="242" t="s">
        <v>5</v>
      </c>
      <c r="C424" s="242" t="s">
        <v>1649</v>
      </c>
      <c r="D424" s="242" t="s">
        <v>2140</v>
      </c>
      <c r="E424" s="242" t="s">
        <v>1320</v>
      </c>
      <c r="F424" s="243">
        <v>531000</v>
      </c>
      <c r="G424" s="243">
        <v>531000</v>
      </c>
      <c r="H424" s="243">
        <f t="shared" si="13"/>
        <v>100</v>
      </c>
      <c r="I424" s="123" t="str">
        <f t="shared" si="12"/>
        <v>06050210080050200</v>
      </c>
    </row>
    <row r="425" spans="1:9" ht="25.5">
      <c r="A425" s="241" t="s">
        <v>1196</v>
      </c>
      <c r="B425" s="242" t="s">
        <v>5</v>
      </c>
      <c r="C425" s="242" t="s">
        <v>1649</v>
      </c>
      <c r="D425" s="242" t="s">
        <v>2140</v>
      </c>
      <c r="E425" s="242" t="s">
        <v>1197</v>
      </c>
      <c r="F425" s="243">
        <v>531000</v>
      </c>
      <c r="G425" s="243">
        <v>531000</v>
      </c>
      <c r="H425" s="243">
        <f t="shared" si="13"/>
        <v>100</v>
      </c>
      <c r="I425" s="123" t="str">
        <f t="shared" si="12"/>
        <v>06050210080050240</v>
      </c>
    </row>
    <row r="426" spans="1:9">
      <c r="A426" s="241" t="s">
        <v>1223</v>
      </c>
      <c r="B426" s="242" t="s">
        <v>5</v>
      </c>
      <c r="C426" s="242" t="s">
        <v>1649</v>
      </c>
      <c r="D426" s="242" t="s">
        <v>2140</v>
      </c>
      <c r="E426" s="242" t="s">
        <v>329</v>
      </c>
      <c r="F426" s="243">
        <v>531000</v>
      </c>
      <c r="G426" s="243">
        <v>531000</v>
      </c>
      <c r="H426" s="243">
        <f t="shared" si="13"/>
        <v>100</v>
      </c>
      <c r="I426" s="123" t="str">
        <f t="shared" si="12"/>
        <v>06050210080050244</v>
      </c>
    </row>
    <row r="427" spans="1:9">
      <c r="A427" s="241" t="s">
        <v>249</v>
      </c>
      <c r="B427" s="242" t="s">
        <v>5</v>
      </c>
      <c r="C427" s="242" t="s">
        <v>1148</v>
      </c>
      <c r="D427" s="242"/>
      <c r="E427" s="242"/>
      <c r="F427" s="243">
        <v>150000</v>
      </c>
      <c r="G427" s="243">
        <v>0</v>
      </c>
      <c r="H427" s="243">
        <f t="shared" si="13"/>
        <v>0</v>
      </c>
      <c r="I427" s="123" t="str">
        <f t="shared" si="12"/>
        <v>0800</v>
      </c>
    </row>
    <row r="428" spans="1:9">
      <c r="A428" s="241" t="s">
        <v>209</v>
      </c>
      <c r="B428" s="242" t="s">
        <v>5</v>
      </c>
      <c r="C428" s="242" t="s">
        <v>392</v>
      </c>
      <c r="D428" s="242"/>
      <c r="E428" s="242"/>
      <c r="F428" s="243">
        <v>150000</v>
      </c>
      <c r="G428" s="243">
        <v>0</v>
      </c>
      <c r="H428" s="243">
        <f t="shared" si="13"/>
        <v>0</v>
      </c>
      <c r="I428" s="123" t="str">
        <f t="shared" si="12"/>
        <v>0801</v>
      </c>
    </row>
    <row r="429" spans="1:9" ht="38.25">
      <c r="A429" s="241" t="s">
        <v>1719</v>
      </c>
      <c r="B429" s="242" t="s">
        <v>5</v>
      </c>
      <c r="C429" s="242" t="s">
        <v>392</v>
      </c>
      <c r="D429" s="242" t="s">
        <v>1720</v>
      </c>
      <c r="E429" s="242"/>
      <c r="F429" s="243">
        <v>150000</v>
      </c>
      <c r="G429" s="243">
        <v>0</v>
      </c>
      <c r="H429" s="243">
        <f t="shared" si="13"/>
        <v>0</v>
      </c>
      <c r="I429" s="123" t="str">
        <f t="shared" si="12"/>
        <v>08011300000000</v>
      </c>
    </row>
    <row r="430" spans="1:9" ht="25.5">
      <c r="A430" s="241" t="s">
        <v>1721</v>
      </c>
      <c r="B430" s="242" t="s">
        <v>5</v>
      </c>
      <c r="C430" s="242" t="s">
        <v>392</v>
      </c>
      <c r="D430" s="242" t="s">
        <v>1722</v>
      </c>
      <c r="E430" s="242"/>
      <c r="F430" s="243">
        <v>150000</v>
      </c>
      <c r="G430" s="243">
        <v>0</v>
      </c>
      <c r="H430" s="243">
        <f t="shared" si="13"/>
        <v>0</v>
      </c>
      <c r="I430" s="123" t="str">
        <f t="shared" ref="I430:I493" si="14">CONCATENATE(C430,D430,E430)</f>
        <v>08011310000000</v>
      </c>
    </row>
    <row r="431" spans="1:9" ht="89.25">
      <c r="A431" s="241" t="s">
        <v>1723</v>
      </c>
      <c r="B431" s="242" t="s">
        <v>5</v>
      </c>
      <c r="C431" s="242" t="s">
        <v>392</v>
      </c>
      <c r="D431" s="242" t="s">
        <v>1724</v>
      </c>
      <c r="E431" s="242"/>
      <c r="F431" s="243">
        <v>150000</v>
      </c>
      <c r="G431" s="243">
        <v>0</v>
      </c>
      <c r="H431" s="243">
        <f t="shared" si="13"/>
        <v>0</v>
      </c>
      <c r="I431" s="123" t="str">
        <f t="shared" si="14"/>
        <v>08011310080010</v>
      </c>
    </row>
    <row r="432" spans="1:9" ht="25.5">
      <c r="A432" s="241" t="s">
        <v>1327</v>
      </c>
      <c r="B432" s="242" t="s">
        <v>5</v>
      </c>
      <c r="C432" s="242" t="s">
        <v>392</v>
      </c>
      <c r="D432" s="242" t="s">
        <v>1724</v>
      </c>
      <c r="E432" s="242" t="s">
        <v>1328</v>
      </c>
      <c r="F432" s="243">
        <v>150000</v>
      </c>
      <c r="G432" s="243">
        <v>0</v>
      </c>
      <c r="H432" s="243">
        <f t="shared" si="13"/>
        <v>0</v>
      </c>
      <c r="I432" s="123" t="str">
        <f t="shared" si="14"/>
        <v>08011310080010600</v>
      </c>
    </row>
    <row r="433" spans="1:9" ht="51">
      <c r="A433" s="241" t="s">
        <v>1947</v>
      </c>
      <c r="B433" s="242" t="s">
        <v>5</v>
      </c>
      <c r="C433" s="242" t="s">
        <v>392</v>
      </c>
      <c r="D433" s="242" t="s">
        <v>1724</v>
      </c>
      <c r="E433" s="242" t="s">
        <v>1725</v>
      </c>
      <c r="F433" s="243">
        <v>150000</v>
      </c>
      <c r="G433" s="243">
        <v>0</v>
      </c>
      <c r="H433" s="243">
        <f t="shared" si="13"/>
        <v>0</v>
      </c>
      <c r="I433" s="123" t="str">
        <f t="shared" si="14"/>
        <v>08011310080010630</v>
      </c>
    </row>
    <row r="434" spans="1:9" ht="25.5">
      <c r="A434" s="241" t="s">
        <v>1726</v>
      </c>
      <c r="B434" s="242" t="s">
        <v>5</v>
      </c>
      <c r="C434" s="242" t="s">
        <v>392</v>
      </c>
      <c r="D434" s="242" t="s">
        <v>1724</v>
      </c>
      <c r="E434" s="242" t="s">
        <v>1727</v>
      </c>
      <c r="F434" s="243">
        <v>150000</v>
      </c>
      <c r="G434" s="243">
        <v>0</v>
      </c>
      <c r="H434" s="243">
        <f t="shared" si="13"/>
        <v>0</v>
      </c>
      <c r="I434" s="123" t="str">
        <f t="shared" si="14"/>
        <v>08011310080010633</v>
      </c>
    </row>
    <row r="435" spans="1:9">
      <c r="A435" s="241" t="s">
        <v>141</v>
      </c>
      <c r="B435" s="242" t="s">
        <v>5</v>
      </c>
      <c r="C435" s="242" t="s">
        <v>1143</v>
      </c>
      <c r="D435" s="242"/>
      <c r="E435" s="242"/>
      <c r="F435" s="243">
        <v>12579260.9</v>
      </c>
      <c r="G435" s="243">
        <v>10252168.859999999</v>
      </c>
      <c r="H435" s="243">
        <f t="shared" si="13"/>
        <v>81.500566221660918</v>
      </c>
      <c r="I435" s="123" t="str">
        <f t="shared" si="14"/>
        <v>1000</v>
      </c>
    </row>
    <row r="436" spans="1:9">
      <c r="A436" s="241" t="s">
        <v>97</v>
      </c>
      <c r="B436" s="242" t="s">
        <v>5</v>
      </c>
      <c r="C436" s="242" t="s">
        <v>375</v>
      </c>
      <c r="D436" s="242"/>
      <c r="E436" s="242"/>
      <c r="F436" s="243">
        <v>5167942</v>
      </c>
      <c r="G436" s="243">
        <v>5165527.3899999997</v>
      </c>
      <c r="H436" s="243">
        <f t="shared" si="13"/>
        <v>99.953277145912239</v>
      </c>
      <c r="I436" s="123" t="str">
        <f t="shared" si="14"/>
        <v>1001</v>
      </c>
    </row>
    <row r="437" spans="1:9" ht="25.5">
      <c r="A437" s="241" t="s">
        <v>601</v>
      </c>
      <c r="B437" s="242" t="s">
        <v>5</v>
      </c>
      <c r="C437" s="242" t="s">
        <v>375</v>
      </c>
      <c r="D437" s="242" t="s">
        <v>1011</v>
      </c>
      <c r="E437" s="242"/>
      <c r="F437" s="243">
        <v>5167942</v>
      </c>
      <c r="G437" s="243">
        <v>5165527.3899999997</v>
      </c>
      <c r="H437" s="243">
        <f t="shared" si="13"/>
        <v>99.953277145912239</v>
      </c>
      <c r="I437" s="123" t="str">
        <f t="shared" si="14"/>
        <v>10019000000000</v>
      </c>
    </row>
    <row r="438" spans="1:9" ht="25.5">
      <c r="A438" s="241" t="s">
        <v>431</v>
      </c>
      <c r="B438" s="242" t="s">
        <v>5</v>
      </c>
      <c r="C438" s="242" t="s">
        <v>375</v>
      </c>
      <c r="D438" s="242" t="s">
        <v>1015</v>
      </c>
      <c r="E438" s="242"/>
      <c r="F438" s="243">
        <v>5167942</v>
      </c>
      <c r="G438" s="243">
        <v>5165527.3899999997</v>
      </c>
      <c r="H438" s="243">
        <f t="shared" si="13"/>
        <v>99.953277145912239</v>
      </c>
      <c r="I438" s="123" t="str">
        <f t="shared" si="14"/>
        <v>10019090000000</v>
      </c>
    </row>
    <row r="439" spans="1:9" ht="25.5">
      <c r="A439" s="241" t="s">
        <v>431</v>
      </c>
      <c r="B439" s="242" t="s">
        <v>5</v>
      </c>
      <c r="C439" s="242" t="s">
        <v>375</v>
      </c>
      <c r="D439" s="242" t="s">
        <v>795</v>
      </c>
      <c r="E439" s="242"/>
      <c r="F439" s="243">
        <v>5167942</v>
      </c>
      <c r="G439" s="243">
        <v>5165527.3899999997</v>
      </c>
      <c r="H439" s="243">
        <f t="shared" si="13"/>
        <v>99.953277145912239</v>
      </c>
      <c r="I439" s="123" t="str">
        <f t="shared" si="14"/>
        <v>10019090080000</v>
      </c>
    </row>
    <row r="440" spans="1:9">
      <c r="A440" s="241" t="s">
        <v>1323</v>
      </c>
      <c r="B440" s="242" t="s">
        <v>5</v>
      </c>
      <c r="C440" s="242" t="s">
        <v>375</v>
      </c>
      <c r="D440" s="242" t="s">
        <v>795</v>
      </c>
      <c r="E440" s="242" t="s">
        <v>1324</v>
      </c>
      <c r="F440" s="243">
        <v>5167942</v>
      </c>
      <c r="G440" s="243">
        <v>5165527.3899999997</v>
      </c>
      <c r="H440" s="243">
        <f t="shared" si="13"/>
        <v>99.953277145912239</v>
      </c>
      <c r="I440" s="123" t="str">
        <f t="shared" si="14"/>
        <v>10019090080000300</v>
      </c>
    </row>
    <row r="441" spans="1:9" ht="25.5">
      <c r="A441" s="241" t="s">
        <v>1204</v>
      </c>
      <c r="B441" s="242" t="s">
        <v>5</v>
      </c>
      <c r="C441" s="242" t="s">
        <v>375</v>
      </c>
      <c r="D441" s="242" t="s">
        <v>795</v>
      </c>
      <c r="E441" s="242" t="s">
        <v>1205</v>
      </c>
      <c r="F441" s="243">
        <v>5167942</v>
      </c>
      <c r="G441" s="243">
        <v>5165527.3899999997</v>
      </c>
      <c r="H441" s="243">
        <f t="shared" si="13"/>
        <v>99.953277145912239</v>
      </c>
      <c r="I441" s="123" t="str">
        <f t="shared" si="14"/>
        <v>10019090080000310</v>
      </c>
    </row>
    <row r="442" spans="1:9">
      <c r="A442" s="241" t="s">
        <v>376</v>
      </c>
      <c r="B442" s="242" t="s">
        <v>5</v>
      </c>
      <c r="C442" s="242" t="s">
        <v>375</v>
      </c>
      <c r="D442" s="242" t="s">
        <v>795</v>
      </c>
      <c r="E442" s="242" t="s">
        <v>377</v>
      </c>
      <c r="F442" s="243">
        <v>5167942</v>
      </c>
      <c r="G442" s="243">
        <v>5165527.3899999997</v>
      </c>
      <c r="H442" s="243">
        <f t="shared" si="13"/>
        <v>99.953277145912239</v>
      </c>
      <c r="I442" s="123" t="str">
        <f t="shared" si="14"/>
        <v>10019090080000312</v>
      </c>
    </row>
    <row r="443" spans="1:9">
      <c r="A443" s="241" t="s">
        <v>98</v>
      </c>
      <c r="B443" s="242" t="s">
        <v>5</v>
      </c>
      <c r="C443" s="242" t="s">
        <v>378</v>
      </c>
      <c r="D443" s="242"/>
      <c r="E443" s="242"/>
      <c r="F443" s="243">
        <v>6138318.9000000004</v>
      </c>
      <c r="G443" s="243">
        <v>3838841.47</v>
      </c>
      <c r="H443" s="243">
        <f t="shared" si="13"/>
        <v>62.538970889896248</v>
      </c>
      <c r="I443" s="123" t="str">
        <f t="shared" si="14"/>
        <v>1003</v>
      </c>
    </row>
    <row r="444" spans="1:9" ht="25.5">
      <c r="A444" s="241" t="s">
        <v>442</v>
      </c>
      <c r="B444" s="242" t="s">
        <v>5</v>
      </c>
      <c r="C444" s="242" t="s">
        <v>378</v>
      </c>
      <c r="D444" s="242" t="s">
        <v>971</v>
      </c>
      <c r="E444" s="242"/>
      <c r="F444" s="243">
        <v>6048318.9000000004</v>
      </c>
      <c r="G444" s="243">
        <v>3748841.47</v>
      </c>
      <c r="H444" s="243">
        <f t="shared" si="13"/>
        <v>61.981544491643781</v>
      </c>
      <c r="I444" s="123" t="str">
        <f t="shared" si="14"/>
        <v>10030100000000</v>
      </c>
    </row>
    <row r="445" spans="1:9" ht="38.25">
      <c r="A445" s="241" t="s">
        <v>445</v>
      </c>
      <c r="B445" s="242" t="s">
        <v>5</v>
      </c>
      <c r="C445" s="242" t="s">
        <v>378</v>
      </c>
      <c r="D445" s="242" t="s">
        <v>1134</v>
      </c>
      <c r="E445" s="242"/>
      <c r="F445" s="243">
        <v>6048318.9000000004</v>
      </c>
      <c r="G445" s="243">
        <v>3748841.47</v>
      </c>
      <c r="H445" s="243">
        <f t="shared" si="13"/>
        <v>61.981544491643781</v>
      </c>
      <c r="I445" s="123" t="str">
        <f t="shared" si="14"/>
        <v>10030120000000</v>
      </c>
    </row>
    <row r="446" spans="1:9" ht="114.75">
      <c r="A446" s="241" t="s">
        <v>1352</v>
      </c>
      <c r="B446" s="242" t="s">
        <v>5</v>
      </c>
      <c r="C446" s="242" t="s">
        <v>378</v>
      </c>
      <c r="D446" s="242" t="s">
        <v>1353</v>
      </c>
      <c r="E446" s="242"/>
      <c r="F446" s="243">
        <v>6048318.9000000004</v>
      </c>
      <c r="G446" s="243">
        <v>3748841.47</v>
      </c>
      <c r="H446" s="243">
        <f t="shared" si="13"/>
        <v>61.981544491643781</v>
      </c>
      <c r="I446" s="123" t="str">
        <f t="shared" si="14"/>
        <v>10030120075870</v>
      </c>
    </row>
    <row r="447" spans="1:9" ht="25.5">
      <c r="A447" s="241" t="s">
        <v>1325</v>
      </c>
      <c r="B447" s="242" t="s">
        <v>5</v>
      </c>
      <c r="C447" s="242" t="s">
        <v>378</v>
      </c>
      <c r="D447" s="242" t="s">
        <v>1353</v>
      </c>
      <c r="E447" s="242" t="s">
        <v>1326</v>
      </c>
      <c r="F447" s="243">
        <v>6048318.9000000004</v>
      </c>
      <c r="G447" s="243">
        <v>3748841.47</v>
      </c>
      <c r="H447" s="243">
        <f t="shared" si="13"/>
        <v>61.981544491643781</v>
      </c>
      <c r="I447" s="123" t="str">
        <f t="shared" si="14"/>
        <v>10030120075870400</v>
      </c>
    </row>
    <row r="448" spans="1:9">
      <c r="A448" s="241" t="s">
        <v>1207</v>
      </c>
      <c r="B448" s="242" t="s">
        <v>5</v>
      </c>
      <c r="C448" s="242" t="s">
        <v>378</v>
      </c>
      <c r="D448" s="242" t="s">
        <v>1353</v>
      </c>
      <c r="E448" s="242" t="s">
        <v>75</v>
      </c>
      <c r="F448" s="243">
        <v>6048318.9000000004</v>
      </c>
      <c r="G448" s="243">
        <v>3748841.47</v>
      </c>
      <c r="H448" s="243">
        <f t="shared" si="13"/>
        <v>61.981544491643781</v>
      </c>
      <c r="I448" s="123" t="str">
        <f t="shared" si="14"/>
        <v>10030120075870410</v>
      </c>
    </row>
    <row r="449" spans="1:9" ht="38.25">
      <c r="A449" s="241" t="s">
        <v>404</v>
      </c>
      <c r="B449" s="242" t="s">
        <v>5</v>
      </c>
      <c r="C449" s="242" t="s">
        <v>378</v>
      </c>
      <c r="D449" s="242" t="s">
        <v>1353</v>
      </c>
      <c r="E449" s="242" t="s">
        <v>405</v>
      </c>
      <c r="F449" s="243">
        <v>6048318.9000000004</v>
      </c>
      <c r="G449" s="243">
        <v>3748841.47</v>
      </c>
      <c r="H449" s="243">
        <f t="shared" si="13"/>
        <v>61.981544491643781</v>
      </c>
      <c r="I449" s="123" t="str">
        <f t="shared" si="14"/>
        <v>10030120075870412</v>
      </c>
    </row>
    <row r="450" spans="1:9" ht="25.5">
      <c r="A450" s="241" t="s">
        <v>601</v>
      </c>
      <c r="B450" s="242" t="s">
        <v>5</v>
      </c>
      <c r="C450" s="242" t="s">
        <v>378</v>
      </c>
      <c r="D450" s="242" t="s">
        <v>1011</v>
      </c>
      <c r="E450" s="242"/>
      <c r="F450" s="243">
        <v>90000</v>
      </c>
      <c r="G450" s="243">
        <v>90000</v>
      </c>
      <c r="H450" s="243">
        <f t="shared" si="13"/>
        <v>100</v>
      </c>
      <c r="I450" s="123" t="str">
        <f t="shared" si="14"/>
        <v>10039000000000</v>
      </c>
    </row>
    <row r="451" spans="1:9" ht="38.25">
      <c r="A451" s="241" t="s">
        <v>427</v>
      </c>
      <c r="B451" s="242" t="s">
        <v>5</v>
      </c>
      <c r="C451" s="242" t="s">
        <v>378</v>
      </c>
      <c r="D451" s="242" t="s">
        <v>1012</v>
      </c>
      <c r="E451" s="242"/>
      <c r="F451" s="243">
        <v>90000</v>
      </c>
      <c r="G451" s="243">
        <v>90000</v>
      </c>
      <c r="H451" s="243">
        <f t="shared" si="13"/>
        <v>100</v>
      </c>
      <c r="I451" s="123" t="str">
        <f t="shared" si="14"/>
        <v>10039010000000</v>
      </c>
    </row>
    <row r="452" spans="1:9" ht="38.25">
      <c r="A452" s="241" t="s">
        <v>427</v>
      </c>
      <c r="B452" s="242" t="s">
        <v>5</v>
      </c>
      <c r="C452" s="242" t="s">
        <v>378</v>
      </c>
      <c r="D452" s="242" t="s">
        <v>793</v>
      </c>
      <c r="E452" s="242"/>
      <c r="F452" s="243">
        <v>90000</v>
      </c>
      <c r="G452" s="243">
        <v>90000</v>
      </c>
      <c r="H452" s="243">
        <f t="shared" si="13"/>
        <v>100</v>
      </c>
      <c r="I452" s="123" t="str">
        <f t="shared" si="14"/>
        <v>10039010080000</v>
      </c>
    </row>
    <row r="453" spans="1:9">
      <c r="A453" s="241" t="s">
        <v>1323</v>
      </c>
      <c r="B453" s="242" t="s">
        <v>5</v>
      </c>
      <c r="C453" s="242" t="s">
        <v>378</v>
      </c>
      <c r="D453" s="242" t="s">
        <v>793</v>
      </c>
      <c r="E453" s="242" t="s">
        <v>1324</v>
      </c>
      <c r="F453" s="243">
        <v>90000</v>
      </c>
      <c r="G453" s="243">
        <v>90000</v>
      </c>
      <c r="H453" s="243">
        <f t="shared" si="13"/>
        <v>100</v>
      </c>
      <c r="I453" s="123" t="str">
        <f t="shared" si="14"/>
        <v>10039010080000300</v>
      </c>
    </row>
    <row r="454" spans="1:9" ht="25.5">
      <c r="A454" s="241" t="s">
        <v>1200</v>
      </c>
      <c r="B454" s="242" t="s">
        <v>5</v>
      </c>
      <c r="C454" s="242" t="s">
        <v>378</v>
      </c>
      <c r="D454" s="242" t="s">
        <v>793</v>
      </c>
      <c r="E454" s="242" t="s">
        <v>557</v>
      </c>
      <c r="F454" s="243">
        <v>90000</v>
      </c>
      <c r="G454" s="243">
        <v>90000</v>
      </c>
      <c r="H454" s="243">
        <f t="shared" ref="H454:H517" si="15">G454/F454*100</f>
        <v>100</v>
      </c>
      <c r="I454" s="123" t="str">
        <f t="shared" si="14"/>
        <v>10039010080000320</v>
      </c>
    </row>
    <row r="455" spans="1:9" ht="25.5">
      <c r="A455" s="241" t="s">
        <v>379</v>
      </c>
      <c r="B455" s="242" t="s">
        <v>5</v>
      </c>
      <c r="C455" s="242" t="s">
        <v>378</v>
      </c>
      <c r="D455" s="242" t="s">
        <v>793</v>
      </c>
      <c r="E455" s="242" t="s">
        <v>380</v>
      </c>
      <c r="F455" s="243">
        <v>90000</v>
      </c>
      <c r="G455" s="243">
        <v>90000</v>
      </c>
      <c r="H455" s="243">
        <f t="shared" si="15"/>
        <v>100</v>
      </c>
      <c r="I455" s="123" t="str">
        <f t="shared" si="14"/>
        <v>10039010080000321</v>
      </c>
    </row>
    <row r="456" spans="1:9">
      <c r="A456" s="241" t="s">
        <v>63</v>
      </c>
      <c r="B456" s="242" t="s">
        <v>5</v>
      </c>
      <c r="C456" s="242" t="s">
        <v>394</v>
      </c>
      <c r="D456" s="242"/>
      <c r="E456" s="242"/>
      <c r="F456" s="243">
        <v>1273000</v>
      </c>
      <c r="G456" s="243">
        <v>1247800</v>
      </c>
      <c r="H456" s="243">
        <f t="shared" si="15"/>
        <v>98.020424194815391</v>
      </c>
      <c r="I456" s="123" t="str">
        <f t="shared" si="14"/>
        <v>1006</v>
      </c>
    </row>
    <row r="457" spans="1:9" ht="25.5">
      <c r="A457" s="241" t="s">
        <v>442</v>
      </c>
      <c r="B457" s="242" t="s">
        <v>5</v>
      </c>
      <c r="C457" s="242" t="s">
        <v>394</v>
      </c>
      <c r="D457" s="242" t="s">
        <v>971</v>
      </c>
      <c r="E457" s="242"/>
      <c r="F457" s="243">
        <v>247100</v>
      </c>
      <c r="G457" s="243">
        <v>247100</v>
      </c>
      <c r="H457" s="243">
        <f t="shared" si="15"/>
        <v>100</v>
      </c>
      <c r="I457" s="123" t="str">
        <f t="shared" si="14"/>
        <v>10060100000000</v>
      </c>
    </row>
    <row r="458" spans="1:9" ht="38.25">
      <c r="A458" s="241" t="s">
        <v>445</v>
      </c>
      <c r="B458" s="242" t="s">
        <v>5</v>
      </c>
      <c r="C458" s="242" t="s">
        <v>394</v>
      </c>
      <c r="D458" s="242" t="s">
        <v>1134</v>
      </c>
      <c r="E458" s="242"/>
      <c r="F458" s="243">
        <v>247100</v>
      </c>
      <c r="G458" s="243">
        <v>247100</v>
      </c>
      <c r="H458" s="243">
        <f t="shared" si="15"/>
        <v>100</v>
      </c>
      <c r="I458" s="123" t="str">
        <f t="shared" si="14"/>
        <v>10060120000000</v>
      </c>
    </row>
    <row r="459" spans="1:9" ht="114.75">
      <c r="A459" s="241" t="s">
        <v>1352</v>
      </c>
      <c r="B459" s="242" t="s">
        <v>5</v>
      </c>
      <c r="C459" s="242" t="s">
        <v>394</v>
      </c>
      <c r="D459" s="242" t="s">
        <v>1353</v>
      </c>
      <c r="E459" s="242"/>
      <c r="F459" s="243">
        <v>247100</v>
      </c>
      <c r="G459" s="243">
        <v>247100</v>
      </c>
      <c r="H459" s="243">
        <f t="shared" si="15"/>
        <v>100</v>
      </c>
      <c r="I459" s="123" t="str">
        <f t="shared" si="14"/>
        <v>10060120075870</v>
      </c>
    </row>
    <row r="460" spans="1:9" ht="63.75">
      <c r="A460" s="241" t="s">
        <v>1318</v>
      </c>
      <c r="B460" s="242" t="s">
        <v>5</v>
      </c>
      <c r="C460" s="242" t="s">
        <v>394</v>
      </c>
      <c r="D460" s="242" t="s">
        <v>1353</v>
      </c>
      <c r="E460" s="242" t="s">
        <v>273</v>
      </c>
      <c r="F460" s="243">
        <v>239670</v>
      </c>
      <c r="G460" s="243">
        <v>239670</v>
      </c>
      <c r="H460" s="243">
        <f t="shared" si="15"/>
        <v>100</v>
      </c>
      <c r="I460" s="123" t="str">
        <f t="shared" si="14"/>
        <v>10060120075870100</v>
      </c>
    </row>
    <row r="461" spans="1:9" ht="25.5">
      <c r="A461" s="241" t="s">
        <v>1203</v>
      </c>
      <c r="B461" s="242" t="s">
        <v>5</v>
      </c>
      <c r="C461" s="242" t="s">
        <v>394</v>
      </c>
      <c r="D461" s="242" t="s">
        <v>1353</v>
      </c>
      <c r="E461" s="242" t="s">
        <v>28</v>
      </c>
      <c r="F461" s="243">
        <v>239670</v>
      </c>
      <c r="G461" s="243">
        <v>239670</v>
      </c>
      <c r="H461" s="243">
        <f t="shared" si="15"/>
        <v>100</v>
      </c>
      <c r="I461" s="123" t="str">
        <f t="shared" si="14"/>
        <v>10060120075870120</v>
      </c>
    </row>
    <row r="462" spans="1:9" ht="25.5">
      <c r="A462" s="241" t="s">
        <v>953</v>
      </c>
      <c r="B462" s="242" t="s">
        <v>5</v>
      </c>
      <c r="C462" s="242" t="s">
        <v>394</v>
      </c>
      <c r="D462" s="242" t="s">
        <v>1353</v>
      </c>
      <c r="E462" s="242" t="s">
        <v>324</v>
      </c>
      <c r="F462" s="243">
        <v>184078</v>
      </c>
      <c r="G462" s="243">
        <v>184078</v>
      </c>
      <c r="H462" s="243">
        <f t="shared" si="15"/>
        <v>100</v>
      </c>
      <c r="I462" s="123" t="str">
        <f t="shared" si="14"/>
        <v>10060120075870121</v>
      </c>
    </row>
    <row r="463" spans="1:9" ht="38.25">
      <c r="A463" s="241" t="s">
        <v>1054</v>
      </c>
      <c r="B463" s="242" t="s">
        <v>5</v>
      </c>
      <c r="C463" s="242" t="s">
        <v>394</v>
      </c>
      <c r="D463" s="242" t="s">
        <v>1353</v>
      </c>
      <c r="E463" s="242" t="s">
        <v>1055</v>
      </c>
      <c r="F463" s="243">
        <v>55592</v>
      </c>
      <c r="G463" s="243">
        <v>55592</v>
      </c>
      <c r="H463" s="243">
        <f t="shared" si="15"/>
        <v>100</v>
      </c>
      <c r="I463" s="123" t="str">
        <f t="shared" si="14"/>
        <v>10060120075870129</v>
      </c>
    </row>
    <row r="464" spans="1:9" ht="25.5">
      <c r="A464" s="241" t="s">
        <v>1319</v>
      </c>
      <c r="B464" s="242" t="s">
        <v>5</v>
      </c>
      <c r="C464" s="242" t="s">
        <v>394</v>
      </c>
      <c r="D464" s="242" t="s">
        <v>1353</v>
      </c>
      <c r="E464" s="242" t="s">
        <v>1320</v>
      </c>
      <c r="F464" s="243">
        <v>7430</v>
      </c>
      <c r="G464" s="243">
        <v>7430</v>
      </c>
      <c r="H464" s="243">
        <f t="shared" si="15"/>
        <v>100</v>
      </c>
      <c r="I464" s="123" t="str">
        <f t="shared" si="14"/>
        <v>10060120075870200</v>
      </c>
    </row>
    <row r="465" spans="1:9" ht="25.5">
      <c r="A465" s="241" t="s">
        <v>1196</v>
      </c>
      <c r="B465" s="242" t="s">
        <v>5</v>
      </c>
      <c r="C465" s="242" t="s">
        <v>394</v>
      </c>
      <c r="D465" s="242" t="s">
        <v>1353</v>
      </c>
      <c r="E465" s="242" t="s">
        <v>1197</v>
      </c>
      <c r="F465" s="243">
        <v>7430</v>
      </c>
      <c r="G465" s="243">
        <v>7430</v>
      </c>
      <c r="H465" s="243">
        <f t="shared" si="15"/>
        <v>100</v>
      </c>
      <c r="I465" s="123" t="str">
        <f t="shared" si="14"/>
        <v>10060120075870240</v>
      </c>
    </row>
    <row r="466" spans="1:9">
      <c r="A466" s="241" t="s">
        <v>1223</v>
      </c>
      <c r="B466" s="242" t="s">
        <v>5</v>
      </c>
      <c r="C466" s="242" t="s">
        <v>394</v>
      </c>
      <c r="D466" s="242" t="s">
        <v>1353</v>
      </c>
      <c r="E466" s="242" t="s">
        <v>329</v>
      </c>
      <c r="F466" s="243">
        <v>7430</v>
      </c>
      <c r="G466" s="243">
        <v>7430</v>
      </c>
      <c r="H466" s="243">
        <f t="shared" si="15"/>
        <v>100</v>
      </c>
      <c r="I466" s="123" t="str">
        <f t="shared" si="14"/>
        <v>10060120075870244</v>
      </c>
    </row>
    <row r="467" spans="1:9" ht="25.5">
      <c r="A467" s="241" t="s">
        <v>599</v>
      </c>
      <c r="B467" s="242" t="s">
        <v>5</v>
      </c>
      <c r="C467" s="242" t="s">
        <v>394</v>
      </c>
      <c r="D467" s="242" t="s">
        <v>1006</v>
      </c>
      <c r="E467" s="242"/>
      <c r="F467" s="243">
        <v>1025900</v>
      </c>
      <c r="G467" s="243">
        <v>1000700</v>
      </c>
      <c r="H467" s="243">
        <f t="shared" si="15"/>
        <v>97.543620235890444</v>
      </c>
      <c r="I467" s="123" t="str">
        <f t="shared" si="14"/>
        <v>10068000000000</v>
      </c>
    </row>
    <row r="468" spans="1:9" ht="38.25">
      <c r="A468" s="241" t="s">
        <v>600</v>
      </c>
      <c r="B468" s="242" t="s">
        <v>5</v>
      </c>
      <c r="C468" s="242" t="s">
        <v>394</v>
      </c>
      <c r="D468" s="242" t="s">
        <v>1008</v>
      </c>
      <c r="E468" s="242"/>
      <c r="F468" s="243">
        <v>1025900</v>
      </c>
      <c r="G468" s="243">
        <v>1000700</v>
      </c>
      <c r="H468" s="243">
        <f t="shared" si="15"/>
        <v>97.543620235890444</v>
      </c>
      <c r="I468" s="123" t="str">
        <f t="shared" si="14"/>
        <v>10068020000000</v>
      </c>
    </row>
    <row r="469" spans="1:9" ht="63.75">
      <c r="A469" s="241" t="s">
        <v>1346</v>
      </c>
      <c r="B469" s="242" t="s">
        <v>5</v>
      </c>
      <c r="C469" s="242" t="s">
        <v>394</v>
      </c>
      <c r="D469" s="242" t="s">
        <v>1347</v>
      </c>
      <c r="E469" s="242"/>
      <c r="F469" s="243">
        <v>1025900</v>
      </c>
      <c r="G469" s="243">
        <v>1000700</v>
      </c>
      <c r="H469" s="243">
        <f t="shared" si="15"/>
        <v>97.543620235890444</v>
      </c>
      <c r="I469" s="123" t="str">
        <f t="shared" si="14"/>
        <v>10068020002890</v>
      </c>
    </row>
    <row r="470" spans="1:9" ht="63.75">
      <c r="A470" s="241" t="s">
        <v>1318</v>
      </c>
      <c r="B470" s="242" t="s">
        <v>5</v>
      </c>
      <c r="C470" s="242" t="s">
        <v>394</v>
      </c>
      <c r="D470" s="242" t="s">
        <v>1347</v>
      </c>
      <c r="E470" s="242" t="s">
        <v>273</v>
      </c>
      <c r="F470" s="243">
        <v>916900</v>
      </c>
      <c r="G470" s="243">
        <v>891700</v>
      </c>
      <c r="H470" s="243">
        <f t="shared" si="15"/>
        <v>97.251608681426546</v>
      </c>
      <c r="I470" s="123" t="str">
        <f t="shared" si="14"/>
        <v>10068020002890100</v>
      </c>
    </row>
    <row r="471" spans="1:9" ht="25.5">
      <c r="A471" s="241" t="s">
        <v>1203</v>
      </c>
      <c r="B471" s="242" t="s">
        <v>5</v>
      </c>
      <c r="C471" s="242" t="s">
        <v>394</v>
      </c>
      <c r="D471" s="242" t="s">
        <v>1347</v>
      </c>
      <c r="E471" s="242" t="s">
        <v>28</v>
      </c>
      <c r="F471" s="243">
        <v>916900</v>
      </c>
      <c r="G471" s="243">
        <v>891700</v>
      </c>
      <c r="H471" s="243">
        <f t="shared" si="15"/>
        <v>97.251608681426546</v>
      </c>
      <c r="I471" s="123" t="str">
        <f t="shared" si="14"/>
        <v>10068020002890120</v>
      </c>
    </row>
    <row r="472" spans="1:9" ht="25.5">
      <c r="A472" s="241" t="s">
        <v>953</v>
      </c>
      <c r="B472" s="242" t="s">
        <v>5</v>
      </c>
      <c r="C472" s="242" t="s">
        <v>394</v>
      </c>
      <c r="D472" s="242" t="s">
        <v>1347</v>
      </c>
      <c r="E472" s="242" t="s">
        <v>324</v>
      </c>
      <c r="F472" s="243">
        <v>684846</v>
      </c>
      <c r="G472" s="243">
        <v>684846</v>
      </c>
      <c r="H472" s="243">
        <f t="shared" si="15"/>
        <v>100</v>
      </c>
      <c r="I472" s="123" t="str">
        <f t="shared" si="14"/>
        <v>10068020002890121</v>
      </c>
    </row>
    <row r="473" spans="1:9" ht="38.25">
      <c r="A473" s="241" t="s">
        <v>325</v>
      </c>
      <c r="B473" s="242" t="s">
        <v>5</v>
      </c>
      <c r="C473" s="242" t="s">
        <v>394</v>
      </c>
      <c r="D473" s="242" t="s">
        <v>1347</v>
      </c>
      <c r="E473" s="242" t="s">
        <v>326</v>
      </c>
      <c r="F473" s="243">
        <v>25200</v>
      </c>
      <c r="G473" s="243">
        <v>0</v>
      </c>
      <c r="H473" s="243">
        <f t="shared" si="15"/>
        <v>0</v>
      </c>
      <c r="I473" s="123" t="str">
        <f t="shared" si="14"/>
        <v>10068020002890122</v>
      </c>
    </row>
    <row r="474" spans="1:9" ht="38.25">
      <c r="A474" s="241" t="s">
        <v>1054</v>
      </c>
      <c r="B474" s="242" t="s">
        <v>5</v>
      </c>
      <c r="C474" s="242" t="s">
        <v>394</v>
      </c>
      <c r="D474" s="242" t="s">
        <v>1347</v>
      </c>
      <c r="E474" s="242" t="s">
        <v>1055</v>
      </c>
      <c r="F474" s="243">
        <v>206854</v>
      </c>
      <c r="G474" s="243">
        <v>206854</v>
      </c>
      <c r="H474" s="243">
        <f t="shared" si="15"/>
        <v>100</v>
      </c>
      <c r="I474" s="123" t="str">
        <f t="shared" si="14"/>
        <v>10068020002890129</v>
      </c>
    </row>
    <row r="475" spans="1:9" ht="25.5">
      <c r="A475" s="241" t="s">
        <v>1319</v>
      </c>
      <c r="B475" s="242" t="s">
        <v>5</v>
      </c>
      <c r="C475" s="242" t="s">
        <v>394</v>
      </c>
      <c r="D475" s="242" t="s">
        <v>1347</v>
      </c>
      <c r="E475" s="242" t="s">
        <v>1320</v>
      </c>
      <c r="F475" s="243">
        <v>109000</v>
      </c>
      <c r="G475" s="243">
        <v>109000</v>
      </c>
      <c r="H475" s="243">
        <f t="shared" si="15"/>
        <v>100</v>
      </c>
      <c r="I475" s="123" t="str">
        <f t="shared" si="14"/>
        <v>10068020002890200</v>
      </c>
    </row>
    <row r="476" spans="1:9" ht="25.5">
      <c r="A476" s="241" t="s">
        <v>1196</v>
      </c>
      <c r="B476" s="242" t="s">
        <v>5</v>
      </c>
      <c r="C476" s="242" t="s">
        <v>394</v>
      </c>
      <c r="D476" s="242" t="s">
        <v>1347</v>
      </c>
      <c r="E476" s="242" t="s">
        <v>1197</v>
      </c>
      <c r="F476" s="243">
        <v>109000</v>
      </c>
      <c r="G476" s="243">
        <v>109000</v>
      </c>
      <c r="H476" s="243">
        <f t="shared" si="15"/>
        <v>100</v>
      </c>
      <c r="I476" s="123" t="str">
        <f t="shared" si="14"/>
        <v>10068020002890240</v>
      </c>
    </row>
    <row r="477" spans="1:9">
      <c r="A477" s="241" t="s">
        <v>1223</v>
      </c>
      <c r="B477" s="242" t="s">
        <v>5</v>
      </c>
      <c r="C477" s="242" t="s">
        <v>394</v>
      </c>
      <c r="D477" s="242" t="s">
        <v>1347</v>
      </c>
      <c r="E477" s="242" t="s">
        <v>329</v>
      </c>
      <c r="F477" s="243">
        <v>109000</v>
      </c>
      <c r="G477" s="243">
        <v>109000</v>
      </c>
      <c r="H477" s="243">
        <f t="shared" si="15"/>
        <v>100</v>
      </c>
      <c r="I477" s="123" t="str">
        <f t="shared" si="14"/>
        <v>10068020002890244</v>
      </c>
    </row>
    <row r="478" spans="1:9" ht="25.5">
      <c r="A478" s="241" t="s">
        <v>1062</v>
      </c>
      <c r="B478" s="242" t="s">
        <v>354</v>
      </c>
      <c r="C478" s="242"/>
      <c r="D478" s="242"/>
      <c r="E478" s="242"/>
      <c r="F478" s="243">
        <v>9444476</v>
      </c>
      <c r="G478" s="243">
        <v>9227554.0899999999</v>
      </c>
      <c r="H478" s="243">
        <f t="shared" si="15"/>
        <v>97.703187450526627</v>
      </c>
      <c r="I478" s="123" t="str">
        <f t="shared" si="14"/>
        <v/>
      </c>
    </row>
    <row r="479" spans="1:9">
      <c r="A479" s="241" t="s">
        <v>234</v>
      </c>
      <c r="B479" s="242" t="s">
        <v>354</v>
      </c>
      <c r="C479" s="242" t="s">
        <v>1135</v>
      </c>
      <c r="D479" s="242"/>
      <c r="E479" s="242"/>
      <c r="F479" s="243">
        <v>9444476</v>
      </c>
      <c r="G479" s="243">
        <v>9227554.0899999999</v>
      </c>
      <c r="H479" s="243">
        <f t="shared" si="15"/>
        <v>97.703187450526627</v>
      </c>
      <c r="I479" s="123" t="str">
        <f t="shared" si="14"/>
        <v>0100</v>
      </c>
    </row>
    <row r="480" spans="1:9">
      <c r="A480" s="241" t="s">
        <v>217</v>
      </c>
      <c r="B480" s="242" t="s">
        <v>354</v>
      </c>
      <c r="C480" s="242" t="s">
        <v>337</v>
      </c>
      <c r="D480" s="242"/>
      <c r="E480" s="242"/>
      <c r="F480" s="243">
        <v>9444476</v>
      </c>
      <c r="G480" s="243">
        <v>9227554.0899999999</v>
      </c>
      <c r="H480" s="243">
        <f t="shared" si="15"/>
        <v>97.703187450526627</v>
      </c>
      <c r="I480" s="123" t="str">
        <f t="shared" si="14"/>
        <v>0113</v>
      </c>
    </row>
    <row r="481" spans="1:9" ht="25.5">
      <c r="A481" s="241" t="s">
        <v>601</v>
      </c>
      <c r="B481" s="242" t="s">
        <v>354</v>
      </c>
      <c r="C481" s="242" t="s">
        <v>337</v>
      </c>
      <c r="D481" s="242" t="s">
        <v>1011</v>
      </c>
      <c r="E481" s="242"/>
      <c r="F481" s="243">
        <v>9444476</v>
      </c>
      <c r="G481" s="243">
        <v>9227554.0899999999</v>
      </c>
      <c r="H481" s="243">
        <f t="shared" si="15"/>
        <v>97.703187450526627</v>
      </c>
      <c r="I481" s="123" t="str">
        <f t="shared" si="14"/>
        <v>01139000000000</v>
      </c>
    </row>
    <row r="482" spans="1:9" ht="25.5">
      <c r="A482" s="241" t="s">
        <v>1063</v>
      </c>
      <c r="B482" s="242" t="s">
        <v>354</v>
      </c>
      <c r="C482" s="242" t="s">
        <v>337</v>
      </c>
      <c r="D482" s="242" t="s">
        <v>1064</v>
      </c>
      <c r="E482" s="242"/>
      <c r="F482" s="243">
        <v>9444476</v>
      </c>
      <c r="G482" s="243">
        <v>9227554.0899999999</v>
      </c>
      <c r="H482" s="243">
        <f t="shared" si="15"/>
        <v>97.703187450526627</v>
      </c>
      <c r="I482" s="123" t="str">
        <f t="shared" si="14"/>
        <v>01139070000000</v>
      </c>
    </row>
    <row r="483" spans="1:9" ht="51">
      <c r="A483" s="241" t="s">
        <v>2045</v>
      </c>
      <c r="B483" s="242" t="s">
        <v>354</v>
      </c>
      <c r="C483" s="242" t="s">
        <v>337</v>
      </c>
      <c r="D483" s="242" t="s">
        <v>2046</v>
      </c>
      <c r="E483" s="242"/>
      <c r="F483" s="243">
        <v>1127855</v>
      </c>
      <c r="G483" s="243">
        <v>1127855</v>
      </c>
      <c r="H483" s="243">
        <f t="shared" si="15"/>
        <v>100</v>
      </c>
      <c r="I483" s="123" t="str">
        <f t="shared" si="14"/>
        <v>01139070027242</v>
      </c>
    </row>
    <row r="484" spans="1:9" ht="63.75">
      <c r="A484" s="241" t="s">
        <v>1318</v>
      </c>
      <c r="B484" s="242" t="s">
        <v>354</v>
      </c>
      <c r="C484" s="242" t="s">
        <v>337</v>
      </c>
      <c r="D484" s="242" t="s">
        <v>2046</v>
      </c>
      <c r="E484" s="242" t="s">
        <v>273</v>
      </c>
      <c r="F484" s="243">
        <v>1127855</v>
      </c>
      <c r="G484" s="243">
        <v>1127855</v>
      </c>
      <c r="H484" s="243">
        <f t="shared" si="15"/>
        <v>100</v>
      </c>
      <c r="I484" s="123" t="str">
        <f t="shared" si="14"/>
        <v>01139070027242100</v>
      </c>
    </row>
    <row r="485" spans="1:9" ht="25.5">
      <c r="A485" s="241" t="s">
        <v>1203</v>
      </c>
      <c r="B485" s="242" t="s">
        <v>354</v>
      </c>
      <c r="C485" s="242" t="s">
        <v>337</v>
      </c>
      <c r="D485" s="242" t="s">
        <v>2046</v>
      </c>
      <c r="E485" s="242" t="s">
        <v>28</v>
      </c>
      <c r="F485" s="243">
        <v>1127855</v>
      </c>
      <c r="G485" s="243">
        <v>1127855</v>
      </c>
      <c r="H485" s="243">
        <f t="shared" si="15"/>
        <v>100</v>
      </c>
      <c r="I485" s="123" t="str">
        <f t="shared" si="14"/>
        <v>01139070027242120</v>
      </c>
    </row>
    <row r="486" spans="1:9" ht="25.5">
      <c r="A486" s="241" t="s">
        <v>953</v>
      </c>
      <c r="B486" s="242" t="s">
        <v>354</v>
      </c>
      <c r="C486" s="242" t="s">
        <v>337</v>
      </c>
      <c r="D486" s="242" t="s">
        <v>2046</v>
      </c>
      <c r="E486" s="242" t="s">
        <v>324</v>
      </c>
      <c r="F486" s="243">
        <v>866248</v>
      </c>
      <c r="G486" s="243">
        <v>866248</v>
      </c>
      <c r="H486" s="243">
        <f t="shared" si="15"/>
        <v>100</v>
      </c>
      <c r="I486" s="123" t="str">
        <f t="shared" si="14"/>
        <v>01139070027242121</v>
      </c>
    </row>
    <row r="487" spans="1:9" ht="38.25">
      <c r="A487" s="241" t="s">
        <v>1054</v>
      </c>
      <c r="B487" s="242" t="s">
        <v>354</v>
      </c>
      <c r="C487" s="242" t="s">
        <v>337</v>
      </c>
      <c r="D487" s="242" t="s">
        <v>2046</v>
      </c>
      <c r="E487" s="242" t="s">
        <v>1055</v>
      </c>
      <c r="F487" s="243">
        <v>261607</v>
      </c>
      <c r="G487" s="243">
        <v>261607</v>
      </c>
      <c r="H487" s="243">
        <f t="shared" si="15"/>
        <v>100</v>
      </c>
      <c r="I487" s="123" t="str">
        <f t="shared" si="14"/>
        <v>01139070027242129</v>
      </c>
    </row>
    <row r="488" spans="1:9" ht="25.5">
      <c r="A488" s="241" t="s">
        <v>1063</v>
      </c>
      <c r="B488" s="242" t="s">
        <v>354</v>
      </c>
      <c r="C488" s="242" t="s">
        <v>337</v>
      </c>
      <c r="D488" s="242" t="s">
        <v>1076</v>
      </c>
      <c r="E488" s="242"/>
      <c r="F488" s="243">
        <v>8072304</v>
      </c>
      <c r="G488" s="243">
        <v>7855435.3899999997</v>
      </c>
      <c r="H488" s="243">
        <f t="shared" si="15"/>
        <v>97.313423652032924</v>
      </c>
      <c r="I488" s="123" t="str">
        <f t="shared" si="14"/>
        <v>01139070040000</v>
      </c>
    </row>
    <row r="489" spans="1:9" ht="63.75">
      <c r="A489" s="241" t="s">
        <v>1318</v>
      </c>
      <c r="B489" s="242" t="s">
        <v>354</v>
      </c>
      <c r="C489" s="242" t="s">
        <v>337</v>
      </c>
      <c r="D489" s="242" t="s">
        <v>1076</v>
      </c>
      <c r="E489" s="242" t="s">
        <v>273</v>
      </c>
      <c r="F489" s="243">
        <v>7665827</v>
      </c>
      <c r="G489" s="243">
        <v>7453994.1699999999</v>
      </c>
      <c r="H489" s="243">
        <f t="shared" si="15"/>
        <v>97.236660441202233</v>
      </c>
      <c r="I489" s="123" t="str">
        <f t="shared" si="14"/>
        <v>01139070040000100</v>
      </c>
    </row>
    <row r="490" spans="1:9" ht="25.5">
      <c r="A490" s="241" t="s">
        <v>1203</v>
      </c>
      <c r="B490" s="242" t="s">
        <v>354</v>
      </c>
      <c r="C490" s="242" t="s">
        <v>337</v>
      </c>
      <c r="D490" s="242" t="s">
        <v>1076</v>
      </c>
      <c r="E490" s="242" t="s">
        <v>28</v>
      </c>
      <c r="F490" s="243">
        <v>7665827</v>
      </c>
      <c r="G490" s="243">
        <v>7453994.1699999999</v>
      </c>
      <c r="H490" s="243">
        <f t="shared" si="15"/>
        <v>97.236660441202233</v>
      </c>
      <c r="I490" s="123" t="str">
        <f t="shared" si="14"/>
        <v>01139070040000120</v>
      </c>
    </row>
    <row r="491" spans="1:9" ht="25.5">
      <c r="A491" s="241" t="s">
        <v>953</v>
      </c>
      <c r="B491" s="242" t="s">
        <v>354</v>
      </c>
      <c r="C491" s="242" t="s">
        <v>337</v>
      </c>
      <c r="D491" s="242" t="s">
        <v>1076</v>
      </c>
      <c r="E491" s="242" t="s">
        <v>324</v>
      </c>
      <c r="F491" s="243">
        <v>5880835</v>
      </c>
      <c r="G491" s="243">
        <v>5725784.9199999999</v>
      </c>
      <c r="H491" s="243">
        <f t="shared" si="15"/>
        <v>97.363468282990425</v>
      </c>
      <c r="I491" s="123" t="str">
        <f t="shared" si="14"/>
        <v>01139070040000121</v>
      </c>
    </row>
    <row r="492" spans="1:9" ht="38.25">
      <c r="A492" s="241" t="s">
        <v>325</v>
      </c>
      <c r="B492" s="242" t="s">
        <v>354</v>
      </c>
      <c r="C492" s="242" t="s">
        <v>337</v>
      </c>
      <c r="D492" s="242" t="s">
        <v>1076</v>
      </c>
      <c r="E492" s="242" t="s">
        <v>326</v>
      </c>
      <c r="F492" s="243">
        <v>8980</v>
      </c>
      <c r="G492" s="243">
        <v>8980</v>
      </c>
      <c r="H492" s="243">
        <f t="shared" si="15"/>
        <v>100</v>
      </c>
      <c r="I492" s="123" t="str">
        <f t="shared" si="14"/>
        <v>01139070040000122</v>
      </c>
    </row>
    <row r="493" spans="1:9" ht="38.25">
      <c r="A493" s="241" t="s">
        <v>1054</v>
      </c>
      <c r="B493" s="242" t="s">
        <v>354</v>
      </c>
      <c r="C493" s="242" t="s">
        <v>337</v>
      </c>
      <c r="D493" s="242" t="s">
        <v>1076</v>
      </c>
      <c r="E493" s="242" t="s">
        <v>1055</v>
      </c>
      <c r="F493" s="243">
        <v>1776012</v>
      </c>
      <c r="G493" s="243">
        <v>1719229.25</v>
      </c>
      <c r="H493" s="243">
        <f t="shared" si="15"/>
        <v>96.802794688324184</v>
      </c>
      <c r="I493" s="123" t="str">
        <f t="shared" si="14"/>
        <v>01139070040000129</v>
      </c>
    </row>
    <row r="494" spans="1:9" ht="25.5">
      <c r="A494" s="241" t="s">
        <v>1319</v>
      </c>
      <c r="B494" s="242" t="s">
        <v>354</v>
      </c>
      <c r="C494" s="242" t="s">
        <v>337</v>
      </c>
      <c r="D494" s="242" t="s">
        <v>1076</v>
      </c>
      <c r="E494" s="242" t="s">
        <v>1320</v>
      </c>
      <c r="F494" s="243">
        <v>406477</v>
      </c>
      <c r="G494" s="243">
        <v>401441.22</v>
      </c>
      <c r="H494" s="243">
        <f t="shared" si="15"/>
        <v>98.76111563507898</v>
      </c>
      <c r="I494" s="123" t="str">
        <f t="shared" ref="I494:I557" si="16">CONCATENATE(C494,D494,E494)</f>
        <v>01139070040000200</v>
      </c>
    </row>
    <row r="495" spans="1:9" ht="25.5">
      <c r="A495" s="241" t="s">
        <v>1196</v>
      </c>
      <c r="B495" s="242" t="s">
        <v>354</v>
      </c>
      <c r="C495" s="242" t="s">
        <v>337</v>
      </c>
      <c r="D495" s="242" t="s">
        <v>1076</v>
      </c>
      <c r="E495" s="242" t="s">
        <v>1197</v>
      </c>
      <c r="F495" s="243">
        <v>406477</v>
      </c>
      <c r="G495" s="243">
        <v>401441.22</v>
      </c>
      <c r="H495" s="243">
        <f t="shared" si="15"/>
        <v>98.76111563507898</v>
      </c>
      <c r="I495" s="123" t="str">
        <f t="shared" si="16"/>
        <v>01139070040000240</v>
      </c>
    </row>
    <row r="496" spans="1:9">
      <c r="A496" s="241" t="s">
        <v>1223</v>
      </c>
      <c r="B496" s="242" t="s">
        <v>354</v>
      </c>
      <c r="C496" s="242" t="s">
        <v>337</v>
      </c>
      <c r="D496" s="242" t="s">
        <v>1076</v>
      </c>
      <c r="E496" s="242" t="s">
        <v>329</v>
      </c>
      <c r="F496" s="243">
        <v>406477</v>
      </c>
      <c r="G496" s="243">
        <v>401441.22</v>
      </c>
      <c r="H496" s="243">
        <f t="shared" si="15"/>
        <v>98.76111563507898</v>
      </c>
      <c r="I496" s="123" t="str">
        <f t="shared" si="16"/>
        <v>01139070040000244</v>
      </c>
    </row>
    <row r="497" spans="1:9" ht="51">
      <c r="A497" s="241" t="s">
        <v>1145</v>
      </c>
      <c r="B497" s="242" t="s">
        <v>354</v>
      </c>
      <c r="C497" s="242" t="s">
        <v>337</v>
      </c>
      <c r="D497" s="242" t="s">
        <v>1146</v>
      </c>
      <c r="E497" s="242"/>
      <c r="F497" s="243">
        <v>80093.7</v>
      </c>
      <c r="G497" s="243">
        <v>80093.7</v>
      </c>
      <c r="H497" s="243">
        <f t="shared" si="15"/>
        <v>100</v>
      </c>
      <c r="I497" s="123" t="str">
        <f t="shared" si="16"/>
        <v>01139070047000</v>
      </c>
    </row>
    <row r="498" spans="1:9" ht="63.75">
      <c r="A498" s="241" t="s">
        <v>1318</v>
      </c>
      <c r="B498" s="242" t="s">
        <v>354</v>
      </c>
      <c r="C498" s="242" t="s">
        <v>337</v>
      </c>
      <c r="D498" s="242" t="s">
        <v>1146</v>
      </c>
      <c r="E498" s="242" t="s">
        <v>273</v>
      </c>
      <c r="F498" s="243">
        <v>80093.7</v>
      </c>
      <c r="G498" s="243">
        <v>80093.7</v>
      </c>
      <c r="H498" s="243">
        <f t="shared" si="15"/>
        <v>100</v>
      </c>
      <c r="I498" s="123" t="str">
        <f t="shared" si="16"/>
        <v>01139070047000100</v>
      </c>
    </row>
    <row r="499" spans="1:9" ht="25.5">
      <c r="A499" s="241" t="s">
        <v>1203</v>
      </c>
      <c r="B499" s="242" t="s">
        <v>354</v>
      </c>
      <c r="C499" s="242" t="s">
        <v>337</v>
      </c>
      <c r="D499" s="242" t="s">
        <v>1146</v>
      </c>
      <c r="E499" s="242" t="s">
        <v>28</v>
      </c>
      <c r="F499" s="243">
        <v>80093.7</v>
      </c>
      <c r="G499" s="243">
        <v>80093.7</v>
      </c>
      <c r="H499" s="243">
        <f t="shared" si="15"/>
        <v>100</v>
      </c>
      <c r="I499" s="123" t="str">
        <f t="shared" si="16"/>
        <v>01139070047000120</v>
      </c>
    </row>
    <row r="500" spans="1:9" ht="38.25">
      <c r="A500" s="241" t="s">
        <v>325</v>
      </c>
      <c r="B500" s="242" t="s">
        <v>354</v>
      </c>
      <c r="C500" s="242" t="s">
        <v>337</v>
      </c>
      <c r="D500" s="242" t="s">
        <v>1146</v>
      </c>
      <c r="E500" s="242" t="s">
        <v>326</v>
      </c>
      <c r="F500" s="243">
        <v>80093.7</v>
      </c>
      <c r="G500" s="243">
        <v>80093.7</v>
      </c>
      <c r="H500" s="243">
        <f t="shared" si="15"/>
        <v>100</v>
      </c>
      <c r="I500" s="123" t="str">
        <f t="shared" si="16"/>
        <v>01139070047000122</v>
      </c>
    </row>
    <row r="501" spans="1:9" ht="38.25">
      <c r="A501" s="241" t="s">
        <v>2250</v>
      </c>
      <c r="B501" s="242" t="s">
        <v>354</v>
      </c>
      <c r="C501" s="242" t="s">
        <v>337</v>
      </c>
      <c r="D501" s="242" t="s">
        <v>2251</v>
      </c>
      <c r="E501" s="242"/>
      <c r="F501" s="243">
        <v>164223.29999999999</v>
      </c>
      <c r="G501" s="243">
        <v>164170</v>
      </c>
      <c r="H501" s="243">
        <f t="shared" si="15"/>
        <v>99.967544191354094</v>
      </c>
      <c r="I501" s="123" t="str">
        <f t="shared" si="16"/>
        <v>0113907004Ф000</v>
      </c>
    </row>
    <row r="502" spans="1:9" ht="25.5">
      <c r="A502" s="241" t="s">
        <v>1319</v>
      </c>
      <c r="B502" s="242" t="s">
        <v>354</v>
      </c>
      <c r="C502" s="242" t="s">
        <v>337</v>
      </c>
      <c r="D502" s="242" t="s">
        <v>2251</v>
      </c>
      <c r="E502" s="242" t="s">
        <v>1320</v>
      </c>
      <c r="F502" s="243">
        <v>164223.29999999999</v>
      </c>
      <c r="G502" s="243">
        <v>164170</v>
      </c>
      <c r="H502" s="243">
        <f t="shared" si="15"/>
        <v>99.967544191354094</v>
      </c>
      <c r="I502" s="123" t="str">
        <f t="shared" si="16"/>
        <v>0113907004Ф000200</v>
      </c>
    </row>
    <row r="503" spans="1:9" ht="25.5">
      <c r="A503" s="241" t="s">
        <v>1196</v>
      </c>
      <c r="B503" s="242" t="s">
        <v>354</v>
      </c>
      <c r="C503" s="242" t="s">
        <v>337</v>
      </c>
      <c r="D503" s="242" t="s">
        <v>2251</v>
      </c>
      <c r="E503" s="242" t="s">
        <v>1197</v>
      </c>
      <c r="F503" s="243">
        <v>164223.29999999999</v>
      </c>
      <c r="G503" s="243">
        <v>164170</v>
      </c>
      <c r="H503" s="243">
        <f t="shared" si="15"/>
        <v>99.967544191354094</v>
      </c>
      <c r="I503" s="123" t="str">
        <f t="shared" si="16"/>
        <v>0113907004Ф000240</v>
      </c>
    </row>
    <row r="504" spans="1:9">
      <c r="A504" s="241" t="s">
        <v>1223</v>
      </c>
      <c r="B504" s="242" t="s">
        <v>354</v>
      </c>
      <c r="C504" s="242" t="s">
        <v>337</v>
      </c>
      <c r="D504" s="242" t="s">
        <v>2251</v>
      </c>
      <c r="E504" s="242" t="s">
        <v>329</v>
      </c>
      <c r="F504" s="243">
        <v>164223.29999999999</v>
      </c>
      <c r="G504" s="243">
        <v>164170</v>
      </c>
      <c r="H504" s="243">
        <f t="shared" si="15"/>
        <v>99.967544191354094</v>
      </c>
      <c r="I504" s="123" t="str">
        <f t="shared" si="16"/>
        <v>0113907004Ф000244</v>
      </c>
    </row>
    <row r="505" spans="1:9" ht="25.5">
      <c r="A505" s="241" t="s">
        <v>253</v>
      </c>
      <c r="B505" s="242" t="s">
        <v>201</v>
      </c>
      <c r="C505" s="242"/>
      <c r="D505" s="242"/>
      <c r="E505" s="242"/>
      <c r="F505" s="243">
        <v>269436426.83999997</v>
      </c>
      <c r="G505" s="243">
        <v>202076130.59999999</v>
      </c>
      <c r="H505" s="243">
        <f t="shared" si="15"/>
        <v>74.999558511811514</v>
      </c>
      <c r="I505" s="123" t="str">
        <f t="shared" si="16"/>
        <v/>
      </c>
    </row>
    <row r="506" spans="1:9">
      <c r="A506" s="241" t="s">
        <v>239</v>
      </c>
      <c r="B506" s="242" t="s">
        <v>201</v>
      </c>
      <c r="C506" s="242" t="s">
        <v>1141</v>
      </c>
      <c r="D506" s="242"/>
      <c r="E506" s="242"/>
      <c r="F506" s="243">
        <v>228828078.47999999</v>
      </c>
      <c r="G506" s="243">
        <v>170456042.24000001</v>
      </c>
      <c r="H506" s="243">
        <f t="shared" si="15"/>
        <v>74.490876894243641</v>
      </c>
      <c r="I506" s="123" t="str">
        <f t="shared" si="16"/>
        <v>0500</v>
      </c>
    </row>
    <row r="507" spans="1:9">
      <c r="A507" s="241" t="s">
        <v>3</v>
      </c>
      <c r="B507" s="242" t="s">
        <v>201</v>
      </c>
      <c r="C507" s="242" t="s">
        <v>386</v>
      </c>
      <c r="D507" s="242"/>
      <c r="E507" s="242"/>
      <c r="F507" s="243">
        <v>500000</v>
      </c>
      <c r="G507" s="243">
        <v>500000</v>
      </c>
      <c r="H507" s="243">
        <f t="shared" si="15"/>
        <v>100</v>
      </c>
      <c r="I507" s="123" t="str">
        <f t="shared" si="16"/>
        <v>0501</v>
      </c>
    </row>
    <row r="508" spans="1:9" ht="25.5">
      <c r="A508" s="241" t="s">
        <v>596</v>
      </c>
      <c r="B508" s="242" t="s">
        <v>201</v>
      </c>
      <c r="C508" s="242" t="s">
        <v>386</v>
      </c>
      <c r="D508" s="242" t="s">
        <v>997</v>
      </c>
      <c r="E508" s="242"/>
      <c r="F508" s="243">
        <v>500000</v>
      </c>
      <c r="G508" s="243">
        <v>500000</v>
      </c>
      <c r="H508" s="243">
        <f t="shared" si="15"/>
        <v>100</v>
      </c>
      <c r="I508" s="123" t="str">
        <f t="shared" si="16"/>
        <v>05011000000000</v>
      </c>
    </row>
    <row r="509" spans="1:9" ht="25.5">
      <c r="A509" s="241" t="s">
        <v>919</v>
      </c>
      <c r="B509" s="242" t="s">
        <v>201</v>
      </c>
      <c r="C509" s="242" t="s">
        <v>386</v>
      </c>
      <c r="D509" s="242" t="s">
        <v>2047</v>
      </c>
      <c r="E509" s="242"/>
      <c r="F509" s="243">
        <v>500000</v>
      </c>
      <c r="G509" s="243">
        <v>500000</v>
      </c>
      <c r="H509" s="243">
        <f t="shared" si="15"/>
        <v>100</v>
      </c>
      <c r="I509" s="123" t="str">
        <f t="shared" si="16"/>
        <v>05011030000000</v>
      </c>
    </row>
    <row r="510" spans="1:9" ht="63.75">
      <c r="A510" s="241" t="s">
        <v>923</v>
      </c>
      <c r="B510" s="242" t="s">
        <v>201</v>
      </c>
      <c r="C510" s="242" t="s">
        <v>386</v>
      </c>
      <c r="D510" s="242" t="s">
        <v>922</v>
      </c>
      <c r="E510" s="242"/>
      <c r="F510" s="243">
        <v>500000</v>
      </c>
      <c r="G510" s="243">
        <v>500000</v>
      </c>
      <c r="H510" s="243">
        <f t="shared" si="15"/>
        <v>100</v>
      </c>
      <c r="I510" s="123" t="str">
        <f t="shared" si="16"/>
        <v>05011030080000</v>
      </c>
    </row>
    <row r="511" spans="1:9" ht="25.5">
      <c r="A511" s="241" t="s">
        <v>1319</v>
      </c>
      <c r="B511" s="242" t="s">
        <v>201</v>
      </c>
      <c r="C511" s="242" t="s">
        <v>386</v>
      </c>
      <c r="D511" s="242" t="s">
        <v>922</v>
      </c>
      <c r="E511" s="242" t="s">
        <v>1320</v>
      </c>
      <c r="F511" s="243">
        <v>500000</v>
      </c>
      <c r="G511" s="243">
        <v>500000</v>
      </c>
      <c r="H511" s="243">
        <f t="shared" si="15"/>
        <v>100</v>
      </c>
      <c r="I511" s="123" t="str">
        <f t="shared" si="16"/>
        <v>05011030080000200</v>
      </c>
    </row>
    <row r="512" spans="1:9" ht="25.5">
      <c r="A512" s="241" t="s">
        <v>1196</v>
      </c>
      <c r="B512" s="242" t="s">
        <v>201</v>
      </c>
      <c r="C512" s="242" t="s">
        <v>386</v>
      </c>
      <c r="D512" s="242" t="s">
        <v>922</v>
      </c>
      <c r="E512" s="242" t="s">
        <v>1197</v>
      </c>
      <c r="F512" s="243">
        <v>500000</v>
      </c>
      <c r="G512" s="243">
        <v>500000</v>
      </c>
      <c r="H512" s="243">
        <f t="shared" si="15"/>
        <v>100</v>
      </c>
      <c r="I512" s="123" t="str">
        <f t="shared" si="16"/>
        <v>05011030080000240</v>
      </c>
    </row>
    <row r="513" spans="1:9" ht="25.5">
      <c r="A513" s="241" t="s">
        <v>343</v>
      </c>
      <c r="B513" s="242" t="s">
        <v>201</v>
      </c>
      <c r="C513" s="242" t="s">
        <v>386</v>
      </c>
      <c r="D513" s="242" t="s">
        <v>922</v>
      </c>
      <c r="E513" s="242" t="s">
        <v>344</v>
      </c>
      <c r="F513" s="243">
        <v>500000</v>
      </c>
      <c r="G513" s="243">
        <v>500000</v>
      </c>
      <c r="H513" s="243">
        <f t="shared" si="15"/>
        <v>100</v>
      </c>
      <c r="I513" s="123" t="str">
        <f t="shared" si="16"/>
        <v>05011030080000243</v>
      </c>
    </row>
    <row r="514" spans="1:9">
      <c r="A514" s="241" t="s">
        <v>146</v>
      </c>
      <c r="B514" s="242" t="s">
        <v>201</v>
      </c>
      <c r="C514" s="242" t="s">
        <v>364</v>
      </c>
      <c r="D514" s="242"/>
      <c r="E514" s="242"/>
      <c r="F514" s="243">
        <v>218554882.53999999</v>
      </c>
      <c r="G514" s="243">
        <v>160231485.13999999</v>
      </c>
      <c r="H514" s="243">
        <f t="shared" si="15"/>
        <v>73.314072546823269</v>
      </c>
      <c r="I514" s="123" t="str">
        <f t="shared" si="16"/>
        <v>0502</v>
      </c>
    </row>
    <row r="515" spans="1:9" ht="38.25">
      <c r="A515" s="241" t="s">
        <v>452</v>
      </c>
      <c r="B515" s="242" t="s">
        <v>201</v>
      </c>
      <c r="C515" s="242" t="s">
        <v>364</v>
      </c>
      <c r="D515" s="242" t="s">
        <v>974</v>
      </c>
      <c r="E515" s="242"/>
      <c r="F515" s="243">
        <v>204126681.34</v>
      </c>
      <c r="G515" s="243">
        <v>146429687.53999999</v>
      </c>
      <c r="H515" s="243">
        <f t="shared" si="15"/>
        <v>71.734712277079524</v>
      </c>
      <c r="I515" s="123" t="str">
        <f t="shared" si="16"/>
        <v>05020300000000</v>
      </c>
    </row>
    <row r="516" spans="1:9" ht="38.25">
      <c r="A516" s="241" t="s">
        <v>593</v>
      </c>
      <c r="B516" s="242" t="s">
        <v>201</v>
      </c>
      <c r="C516" s="242" t="s">
        <v>364</v>
      </c>
      <c r="D516" s="242" t="s">
        <v>977</v>
      </c>
      <c r="E516" s="242"/>
      <c r="F516" s="243">
        <v>197420758.27000001</v>
      </c>
      <c r="G516" s="243">
        <v>139723764.47</v>
      </c>
      <c r="H516" s="243">
        <f t="shared" si="15"/>
        <v>70.774606325292581</v>
      </c>
      <c r="I516" s="123" t="str">
        <f t="shared" si="16"/>
        <v>05020350000000</v>
      </c>
    </row>
    <row r="517" spans="1:9" ht="89.25">
      <c r="A517" s="241" t="s">
        <v>387</v>
      </c>
      <c r="B517" s="242" t="s">
        <v>201</v>
      </c>
      <c r="C517" s="242" t="s">
        <v>364</v>
      </c>
      <c r="D517" s="242" t="s">
        <v>693</v>
      </c>
      <c r="E517" s="242"/>
      <c r="F517" s="243">
        <v>10097916.189999999</v>
      </c>
      <c r="G517" s="243">
        <v>9820485.7899999991</v>
      </c>
      <c r="H517" s="243">
        <f t="shared" si="15"/>
        <v>97.252597518340067</v>
      </c>
      <c r="I517" s="123" t="str">
        <f t="shared" si="16"/>
        <v>05020350080000</v>
      </c>
    </row>
    <row r="518" spans="1:9" ht="25.5">
      <c r="A518" s="241" t="s">
        <v>1319</v>
      </c>
      <c r="B518" s="242" t="s">
        <v>201</v>
      </c>
      <c r="C518" s="242" t="s">
        <v>364</v>
      </c>
      <c r="D518" s="242" t="s">
        <v>693</v>
      </c>
      <c r="E518" s="242" t="s">
        <v>1320</v>
      </c>
      <c r="F518" s="243">
        <v>8058307.7199999997</v>
      </c>
      <c r="G518" s="243">
        <v>7780877.3200000003</v>
      </c>
      <c r="H518" s="243">
        <f t="shared" ref="H518:H581" si="17">G518/F518*100</f>
        <v>96.557212635210718</v>
      </c>
      <c r="I518" s="123" t="str">
        <f t="shared" si="16"/>
        <v>05020350080000200</v>
      </c>
    </row>
    <row r="519" spans="1:9" ht="25.5">
      <c r="A519" s="241" t="s">
        <v>1196</v>
      </c>
      <c r="B519" s="242" t="s">
        <v>201</v>
      </c>
      <c r="C519" s="242" t="s">
        <v>364</v>
      </c>
      <c r="D519" s="242" t="s">
        <v>693</v>
      </c>
      <c r="E519" s="242" t="s">
        <v>1197</v>
      </c>
      <c r="F519" s="243">
        <v>8058307.7199999997</v>
      </c>
      <c r="G519" s="243">
        <v>7780877.3200000003</v>
      </c>
      <c r="H519" s="243">
        <f t="shared" si="17"/>
        <v>96.557212635210718</v>
      </c>
      <c r="I519" s="123" t="str">
        <f t="shared" si="16"/>
        <v>05020350080000240</v>
      </c>
    </row>
    <row r="520" spans="1:9" ht="25.5">
      <c r="A520" s="241" t="s">
        <v>343</v>
      </c>
      <c r="B520" s="242" t="s">
        <v>201</v>
      </c>
      <c r="C520" s="242" t="s">
        <v>364</v>
      </c>
      <c r="D520" s="242" t="s">
        <v>693</v>
      </c>
      <c r="E520" s="242" t="s">
        <v>344</v>
      </c>
      <c r="F520" s="243">
        <v>6607131.3200000003</v>
      </c>
      <c r="G520" s="243">
        <v>6329700.9199999999</v>
      </c>
      <c r="H520" s="243">
        <f t="shared" si="17"/>
        <v>95.801046073350932</v>
      </c>
      <c r="I520" s="123" t="str">
        <f t="shared" si="16"/>
        <v>05020350080000243</v>
      </c>
    </row>
    <row r="521" spans="1:9">
      <c r="A521" s="241" t="s">
        <v>1223</v>
      </c>
      <c r="B521" s="242" t="s">
        <v>201</v>
      </c>
      <c r="C521" s="242" t="s">
        <v>364</v>
      </c>
      <c r="D521" s="242" t="s">
        <v>693</v>
      </c>
      <c r="E521" s="242" t="s">
        <v>329</v>
      </c>
      <c r="F521" s="243">
        <v>1451176.4</v>
      </c>
      <c r="G521" s="243">
        <v>1451176.4</v>
      </c>
      <c r="H521" s="243">
        <f t="shared" si="17"/>
        <v>100</v>
      </c>
      <c r="I521" s="123" t="str">
        <f t="shared" si="16"/>
        <v>05020350080000244</v>
      </c>
    </row>
    <row r="522" spans="1:9" ht="25.5">
      <c r="A522" s="241" t="s">
        <v>1325</v>
      </c>
      <c r="B522" s="242" t="s">
        <v>201</v>
      </c>
      <c r="C522" s="242" t="s">
        <v>364</v>
      </c>
      <c r="D522" s="242" t="s">
        <v>693</v>
      </c>
      <c r="E522" s="242" t="s">
        <v>1326</v>
      </c>
      <c r="F522" s="243">
        <v>2039608.47</v>
      </c>
      <c r="G522" s="243">
        <v>2039608.47</v>
      </c>
      <c r="H522" s="243">
        <f t="shared" si="17"/>
        <v>100</v>
      </c>
      <c r="I522" s="123" t="str">
        <f t="shared" si="16"/>
        <v>05020350080000400</v>
      </c>
    </row>
    <row r="523" spans="1:9">
      <c r="A523" s="241" t="s">
        <v>1207</v>
      </c>
      <c r="B523" s="242" t="s">
        <v>201</v>
      </c>
      <c r="C523" s="242" t="s">
        <v>364</v>
      </c>
      <c r="D523" s="242" t="s">
        <v>693</v>
      </c>
      <c r="E523" s="242" t="s">
        <v>75</v>
      </c>
      <c r="F523" s="243">
        <v>2039608.47</v>
      </c>
      <c r="G523" s="243">
        <v>2039608.47</v>
      </c>
      <c r="H523" s="243">
        <f t="shared" si="17"/>
        <v>100</v>
      </c>
      <c r="I523" s="123" t="str">
        <f t="shared" si="16"/>
        <v>05020350080000410</v>
      </c>
    </row>
    <row r="524" spans="1:9" ht="38.25">
      <c r="A524" s="241" t="s">
        <v>1950</v>
      </c>
      <c r="B524" s="242" t="s">
        <v>201</v>
      </c>
      <c r="C524" s="242" t="s">
        <v>364</v>
      </c>
      <c r="D524" s="242" t="s">
        <v>693</v>
      </c>
      <c r="E524" s="242" t="s">
        <v>1951</v>
      </c>
      <c r="F524" s="243">
        <v>2039608.47</v>
      </c>
      <c r="G524" s="243">
        <v>2039608.47</v>
      </c>
      <c r="H524" s="243">
        <f t="shared" si="17"/>
        <v>100</v>
      </c>
      <c r="I524" s="123" t="str">
        <f t="shared" si="16"/>
        <v>05020350080000414</v>
      </c>
    </row>
    <row r="525" spans="1:9" ht="114.75">
      <c r="A525" s="241" t="s">
        <v>2141</v>
      </c>
      <c r="B525" s="242" t="s">
        <v>201</v>
      </c>
      <c r="C525" s="242" t="s">
        <v>364</v>
      </c>
      <c r="D525" s="242" t="s">
        <v>2142</v>
      </c>
      <c r="E525" s="242"/>
      <c r="F525" s="243">
        <v>186556.88</v>
      </c>
      <c r="G525" s="243">
        <v>186556.88</v>
      </c>
      <c r="H525" s="243">
        <f t="shared" si="17"/>
        <v>100</v>
      </c>
      <c r="I525" s="123" t="str">
        <f t="shared" si="16"/>
        <v>05020350080010</v>
      </c>
    </row>
    <row r="526" spans="1:9" ht="25.5">
      <c r="A526" s="241" t="s">
        <v>1319</v>
      </c>
      <c r="B526" s="242" t="s">
        <v>201</v>
      </c>
      <c r="C526" s="242" t="s">
        <v>364</v>
      </c>
      <c r="D526" s="242" t="s">
        <v>2142</v>
      </c>
      <c r="E526" s="242" t="s">
        <v>1320</v>
      </c>
      <c r="F526" s="243">
        <v>186556.88</v>
      </c>
      <c r="G526" s="243">
        <v>186556.88</v>
      </c>
      <c r="H526" s="243">
        <f t="shared" si="17"/>
        <v>100</v>
      </c>
      <c r="I526" s="123" t="str">
        <f t="shared" si="16"/>
        <v>05020350080010200</v>
      </c>
    </row>
    <row r="527" spans="1:9" ht="25.5">
      <c r="A527" s="241" t="s">
        <v>1196</v>
      </c>
      <c r="B527" s="242" t="s">
        <v>201</v>
      </c>
      <c r="C527" s="242" t="s">
        <v>364</v>
      </c>
      <c r="D527" s="242" t="s">
        <v>2142</v>
      </c>
      <c r="E527" s="242" t="s">
        <v>1197</v>
      </c>
      <c r="F527" s="243">
        <v>186556.88</v>
      </c>
      <c r="G527" s="243">
        <v>186556.88</v>
      </c>
      <c r="H527" s="243">
        <f t="shared" si="17"/>
        <v>100</v>
      </c>
      <c r="I527" s="123" t="str">
        <f t="shared" si="16"/>
        <v>05020350080010240</v>
      </c>
    </row>
    <row r="528" spans="1:9">
      <c r="A528" s="241" t="s">
        <v>1223</v>
      </c>
      <c r="B528" s="242" t="s">
        <v>201</v>
      </c>
      <c r="C528" s="242" t="s">
        <v>364</v>
      </c>
      <c r="D528" s="242" t="s">
        <v>2142</v>
      </c>
      <c r="E528" s="242" t="s">
        <v>329</v>
      </c>
      <c r="F528" s="243">
        <v>186556.88</v>
      </c>
      <c r="G528" s="243">
        <v>186556.88</v>
      </c>
      <c r="H528" s="243">
        <f t="shared" si="17"/>
        <v>100</v>
      </c>
      <c r="I528" s="123" t="str">
        <f t="shared" si="16"/>
        <v>05020350080010244</v>
      </c>
    </row>
    <row r="529" spans="1:9" ht="102">
      <c r="A529" s="241" t="s">
        <v>1769</v>
      </c>
      <c r="B529" s="242" t="s">
        <v>201</v>
      </c>
      <c r="C529" s="242" t="s">
        <v>364</v>
      </c>
      <c r="D529" s="242" t="s">
        <v>1500</v>
      </c>
      <c r="E529" s="242"/>
      <c r="F529" s="243">
        <v>2183000</v>
      </c>
      <c r="G529" s="243">
        <v>2183000</v>
      </c>
      <c r="H529" s="243">
        <f t="shared" si="17"/>
        <v>100</v>
      </c>
      <c r="I529" s="123" t="str">
        <f t="shared" si="16"/>
        <v>0502035008Ф000</v>
      </c>
    </row>
    <row r="530" spans="1:9" ht="25.5">
      <c r="A530" s="241" t="s">
        <v>1319</v>
      </c>
      <c r="B530" s="242" t="s">
        <v>201</v>
      </c>
      <c r="C530" s="242" t="s">
        <v>364</v>
      </c>
      <c r="D530" s="242" t="s">
        <v>1500</v>
      </c>
      <c r="E530" s="242" t="s">
        <v>1320</v>
      </c>
      <c r="F530" s="243">
        <v>2183000</v>
      </c>
      <c r="G530" s="243">
        <v>2183000</v>
      </c>
      <c r="H530" s="243">
        <f t="shared" si="17"/>
        <v>100</v>
      </c>
      <c r="I530" s="123" t="str">
        <f t="shared" si="16"/>
        <v>0502035008Ф000200</v>
      </c>
    </row>
    <row r="531" spans="1:9" ht="25.5">
      <c r="A531" s="241" t="s">
        <v>1196</v>
      </c>
      <c r="B531" s="242" t="s">
        <v>201</v>
      </c>
      <c r="C531" s="242" t="s">
        <v>364</v>
      </c>
      <c r="D531" s="242" t="s">
        <v>1500</v>
      </c>
      <c r="E531" s="242" t="s">
        <v>1197</v>
      </c>
      <c r="F531" s="243">
        <v>2183000</v>
      </c>
      <c r="G531" s="243">
        <v>2183000</v>
      </c>
      <c r="H531" s="243">
        <f t="shared" si="17"/>
        <v>100</v>
      </c>
      <c r="I531" s="123" t="str">
        <f t="shared" si="16"/>
        <v>0502035008Ф000240</v>
      </c>
    </row>
    <row r="532" spans="1:9">
      <c r="A532" s="241" t="s">
        <v>1223</v>
      </c>
      <c r="B532" s="242" t="s">
        <v>201</v>
      </c>
      <c r="C532" s="242" t="s">
        <v>364</v>
      </c>
      <c r="D532" s="242" t="s">
        <v>1500</v>
      </c>
      <c r="E532" s="242" t="s">
        <v>329</v>
      </c>
      <c r="F532" s="243">
        <v>2183000</v>
      </c>
      <c r="G532" s="243">
        <v>2183000</v>
      </c>
      <c r="H532" s="243">
        <f t="shared" si="17"/>
        <v>100</v>
      </c>
      <c r="I532" s="123" t="str">
        <f t="shared" si="16"/>
        <v>0502035008Ф000244</v>
      </c>
    </row>
    <row r="533" spans="1:9" ht="204">
      <c r="A533" s="241" t="s">
        <v>1511</v>
      </c>
      <c r="B533" s="242" t="s">
        <v>201</v>
      </c>
      <c r="C533" s="242" t="s">
        <v>364</v>
      </c>
      <c r="D533" s="242" t="s">
        <v>1501</v>
      </c>
      <c r="E533" s="242"/>
      <c r="F533" s="243">
        <v>184953285.19999999</v>
      </c>
      <c r="G533" s="243">
        <v>127533721.8</v>
      </c>
      <c r="H533" s="243">
        <f t="shared" si="17"/>
        <v>68.954558802289384</v>
      </c>
      <c r="I533" s="123" t="str">
        <f t="shared" si="16"/>
        <v>050203500S5710</v>
      </c>
    </row>
    <row r="534" spans="1:9" ht="25.5">
      <c r="A534" s="241" t="s">
        <v>1319</v>
      </c>
      <c r="B534" s="242" t="s">
        <v>201</v>
      </c>
      <c r="C534" s="242" t="s">
        <v>364</v>
      </c>
      <c r="D534" s="242" t="s">
        <v>1501</v>
      </c>
      <c r="E534" s="242" t="s">
        <v>1320</v>
      </c>
      <c r="F534" s="243">
        <v>184953285.19999999</v>
      </c>
      <c r="G534" s="243">
        <v>127533721.8</v>
      </c>
      <c r="H534" s="243">
        <f t="shared" si="17"/>
        <v>68.954558802289384</v>
      </c>
      <c r="I534" s="123" t="str">
        <f t="shared" si="16"/>
        <v>050203500S5710200</v>
      </c>
    </row>
    <row r="535" spans="1:9" ht="25.5">
      <c r="A535" s="241" t="s">
        <v>1196</v>
      </c>
      <c r="B535" s="242" t="s">
        <v>201</v>
      </c>
      <c r="C535" s="242" t="s">
        <v>364</v>
      </c>
      <c r="D535" s="242" t="s">
        <v>1501</v>
      </c>
      <c r="E535" s="242" t="s">
        <v>1197</v>
      </c>
      <c r="F535" s="243">
        <v>184953285.19999999</v>
      </c>
      <c r="G535" s="243">
        <v>127533721.8</v>
      </c>
      <c r="H535" s="243">
        <f t="shared" si="17"/>
        <v>68.954558802289384</v>
      </c>
      <c r="I535" s="123" t="str">
        <f t="shared" si="16"/>
        <v>050203500S5710240</v>
      </c>
    </row>
    <row r="536" spans="1:9" ht="25.5">
      <c r="A536" s="241" t="s">
        <v>343</v>
      </c>
      <c r="B536" s="242" t="s">
        <v>201</v>
      </c>
      <c r="C536" s="242" t="s">
        <v>364</v>
      </c>
      <c r="D536" s="242" t="s">
        <v>1501</v>
      </c>
      <c r="E536" s="242" t="s">
        <v>344</v>
      </c>
      <c r="F536" s="243">
        <v>173203285.19999999</v>
      </c>
      <c r="G536" s="243">
        <v>116643721.8</v>
      </c>
      <c r="H536" s="243">
        <f t="shared" si="17"/>
        <v>67.344982322540844</v>
      </c>
      <c r="I536" s="123" t="str">
        <f t="shared" si="16"/>
        <v>050203500S5710243</v>
      </c>
    </row>
    <row r="537" spans="1:9">
      <c r="A537" s="241" t="s">
        <v>1223</v>
      </c>
      <c r="B537" s="242" t="s">
        <v>201</v>
      </c>
      <c r="C537" s="242" t="s">
        <v>364</v>
      </c>
      <c r="D537" s="242" t="s">
        <v>1501</v>
      </c>
      <c r="E537" s="242" t="s">
        <v>329</v>
      </c>
      <c r="F537" s="243">
        <v>11750000</v>
      </c>
      <c r="G537" s="243">
        <v>10890000</v>
      </c>
      <c r="H537" s="243">
        <f t="shared" si="17"/>
        <v>92.680851063829778</v>
      </c>
      <c r="I537" s="123" t="str">
        <f t="shared" si="16"/>
        <v>050203500S5710244</v>
      </c>
    </row>
    <row r="538" spans="1:9" ht="25.5">
      <c r="A538" s="241" t="s">
        <v>1948</v>
      </c>
      <c r="B538" s="242" t="s">
        <v>201</v>
      </c>
      <c r="C538" s="242" t="s">
        <v>364</v>
      </c>
      <c r="D538" s="242" t="s">
        <v>1949</v>
      </c>
      <c r="E538" s="242"/>
      <c r="F538" s="243">
        <v>6705923.0700000003</v>
      </c>
      <c r="G538" s="243">
        <v>6705923.0700000003</v>
      </c>
      <c r="H538" s="243">
        <f t="shared" si="17"/>
        <v>100</v>
      </c>
      <c r="I538" s="123" t="str">
        <f t="shared" si="16"/>
        <v>05020370000000</v>
      </c>
    </row>
    <row r="539" spans="1:9" ht="76.5">
      <c r="A539" s="241" t="s">
        <v>878</v>
      </c>
      <c r="B539" s="242" t="s">
        <v>201</v>
      </c>
      <c r="C539" s="242" t="s">
        <v>364</v>
      </c>
      <c r="D539" s="242" t="s">
        <v>877</v>
      </c>
      <c r="E539" s="242"/>
      <c r="F539" s="243">
        <v>6705923.0700000003</v>
      </c>
      <c r="G539" s="243">
        <v>6705923.0700000003</v>
      </c>
      <c r="H539" s="243">
        <f t="shared" si="17"/>
        <v>100</v>
      </c>
      <c r="I539" s="123" t="str">
        <f t="shared" si="16"/>
        <v>05020370080000</v>
      </c>
    </row>
    <row r="540" spans="1:9" ht="25.5">
      <c r="A540" s="241" t="s">
        <v>1325</v>
      </c>
      <c r="B540" s="242" t="s">
        <v>201</v>
      </c>
      <c r="C540" s="242" t="s">
        <v>364</v>
      </c>
      <c r="D540" s="242" t="s">
        <v>877</v>
      </c>
      <c r="E540" s="242" t="s">
        <v>1326</v>
      </c>
      <c r="F540" s="243">
        <v>6705923.0700000003</v>
      </c>
      <c r="G540" s="243">
        <v>6705923.0700000003</v>
      </c>
      <c r="H540" s="243">
        <f t="shared" si="17"/>
        <v>100</v>
      </c>
      <c r="I540" s="123" t="str">
        <f t="shared" si="16"/>
        <v>05020370080000400</v>
      </c>
    </row>
    <row r="541" spans="1:9">
      <c r="A541" s="241" t="s">
        <v>1207</v>
      </c>
      <c r="B541" s="242" t="s">
        <v>201</v>
      </c>
      <c r="C541" s="242" t="s">
        <v>364</v>
      </c>
      <c r="D541" s="242" t="s">
        <v>877</v>
      </c>
      <c r="E541" s="242" t="s">
        <v>75</v>
      </c>
      <c r="F541" s="243">
        <v>6705923.0700000003</v>
      </c>
      <c r="G541" s="243">
        <v>6705923.0700000003</v>
      </c>
      <c r="H541" s="243">
        <f t="shared" si="17"/>
        <v>100</v>
      </c>
      <c r="I541" s="123" t="str">
        <f t="shared" si="16"/>
        <v>05020370080000410</v>
      </c>
    </row>
    <row r="542" spans="1:9" ht="38.25">
      <c r="A542" s="241" t="s">
        <v>1950</v>
      </c>
      <c r="B542" s="242" t="s">
        <v>201</v>
      </c>
      <c r="C542" s="242" t="s">
        <v>364</v>
      </c>
      <c r="D542" s="242" t="s">
        <v>877</v>
      </c>
      <c r="E542" s="242" t="s">
        <v>1951</v>
      </c>
      <c r="F542" s="243">
        <v>6705923.0700000003</v>
      </c>
      <c r="G542" s="243">
        <v>6705923.0700000003</v>
      </c>
      <c r="H542" s="243">
        <f t="shared" si="17"/>
        <v>100</v>
      </c>
      <c r="I542" s="123" t="str">
        <f t="shared" si="16"/>
        <v>05020370080000414</v>
      </c>
    </row>
    <row r="543" spans="1:9" ht="25.5">
      <c r="A543" s="241" t="s">
        <v>601</v>
      </c>
      <c r="B543" s="242" t="s">
        <v>201</v>
      </c>
      <c r="C543" s="242" t="s">
        <v>364</v>
      </c>
      <c r="D543" s="242" t="s">
        <v>1011</v>
      </c>
      <c r="E543" s="242"/>
      <c r="F543" s="243">
        <v>14428201.199999999</v>
      </c>
      <c r="G543" s="243">
        <v>13801797.6</v>
      </c>
      <c r="H543" s="243">
        <f t="shared" si="17"/>
        <v>95.658477510003124</v>
      </c>
      <c r="I543" s="123" t="str">
        <f t="shared" si="16"/>
        <v>05029000000000</v>
      </c>
    </row>
    <row r="544" spans="1:9" ht="38.25">
      <c r="A544" s="241" t="s">
        <v>427</v>
      </c>
      <c r="B544" s="242" t="s">
        <v>201</v>
      </c>
      <c r="C544" s="242" t="s">
        <v>364</v>
      </c>
      <c r="D544" s="242" t="s">
        <v>1012</v>
      </c>
      <c r="E544" s="242"/>
      <c r="F544" s="243">
        <v>14428201.199999999</v>
      </c>
      <c r="G544" s="243">
        <v>13801797.6</v>
      </c>
      <c r="H544" s="243">
        <f t="shared" si="17"/>
        <v>95.658477510003124</v>
      </c>
      <c r="I544" s="123" t="str">
        <f t="shared" si="16"/>
        <v>05029010000000</v>
      </c>
    </row>
    <row r="545" spans="1:9" ht="38.25">
      <c r="A545" s="241" t="s">
        <v>2221</v>
      </c>
      <c r="B545" s="242" t="s">
        <v>201</v>
      </c>
      <c r="C545" s="242" t="s">
        <v>364</v>
      </c>
      <c r="D545" s="242" t="s">
        <v>2222</v>
      </c>
      <c r="E545" s="242"/>
      <c r="F545" s="243">
        <v>14428201.199999999</v>
      </c>
      <c r="G545" s="243">
        <v>13801797.6</v>
      </c>
      <c r="H545" s="243">
        <f t="shared" si="17"/>
        <v>95.658477510003124</v>
      </c>
      <c r="I545" s="123" t="str">
        <f t="shared" si="16"/>
        <v>05029010010110</v>
      </c>
    </row>
    <row r="546" spans="1:9" ht="25.5">
      <c r="A546" s="241" t="s">
        <v>1319</v>
      </c>
      <c r="B546" s="242" t="s">
        <v>201</v>
      </c>
      <c r="C546" s="242" t="s">
        <v>364</v>
      </c>
      <c r="D546" s="242" t="s">
        <v>2222</v>
      </c>
      <c r="E546" s="242" t="s">
        <v>1320</v>
      </c>
      <c r="F546" s="243">
        <v>14428201.199999999</v>
      </c>
      <c r="G546" s="243">
        <v>13801797.6</v>
      </c>
      <c r="H546" s="243">
        <f t="shared" si="17"/>
        <v>95.658477510003124</v>
      </c>
      <c r="I546" s="123" t="str">
        <f t="shared" si="16"/>
        <v>05029010010110200</v>
      </c>
    </row>
    <row r="547" spans="1:9" ht="25.5">
      <c r="A547" s="241" t="s">
        <v>1196</v>
      </c>
      <c r="B547" s="242" t="s">
        <v>201</v>
      </c>
      <c r="C547" s="242" t="s">
        <v>364</v>
      </c>
      <c r="D547" s="242" t="s">
        <v>2222</v>
      </c>
      <c r="E547" s="242" t="s">
        <v>1197</v>
      </c>
      <c r="F547" s="243">
        <v>14428201.199999999</v>
      </c>
      <c r="G547" s="243">
        <v>13801797.6</v>
      </c>
      <c r="H547" s="243">
        <f t="shared" si="17"/>
        <v>95.658477510003124</v>
      </c>
      <c r="I547" s="123" t="str">
        <f t="shared" si="16"/>
        <v>05029010010110240</v>
      </c>
    </row>
    <row r="548" spans="1:9">
      <c r="A548" s="241" t="s">
        <v>1223</v>
      </c>
      <c r="B548" s="242" t="s">
        <v>201</v>
      </c>
      <c r="C548" s="242" t="s">
        <v>364</v>
      </c>
      <c r="D548" s="242" t="s">
        <v>2222</v>
      </c>
      <c r="E548" s="242" t="s">
        <v>329</v>
      </c>
      <c r="F548" s="243">
        <v>14428201.199999999</v>
      </c>
      <c r="G548" s="243">
        <v>13801797.6</v>
      </c>
      <c r="H548" s="243">
        <f t="shared" si="17"/>
        <v>95.658477510003124</v>
      </c>
      <c r="I548" s="123" t="str">
        <f t="shared" si="16"/>
        <v>05029010010110244</v>
      </c>
    </row>
    <row r="549" spans="1:9" ht="25.5">
      <c r="A549" s="241" t="s">
        <v>151</v>
      </c>
      <c r="B549" s="242" t="s">
        <v>201</v>
      </c>
      <c r="C549" s="242" t="s">
        <v>389</v>
      </c>
      <c r="D549" s="242"/>
      <c r="E549" s="242"/>
      <c r="F549" s="243">
        <v>9773195.9399999995</v>
      </c>
      <c r="G549" s="243">
        <v>9724557.0999999996</v>
      </c>
      <c r="H549" s="243">
        <f t="shared" si="17"/>
        <v>99.502324108729582</v>
      </c>
      <c r="I549" s="123" t="str">
        <f t="shared" si="16"/>
        <v>0505</v>
      </c>
    </row>
    <row r="550" spans="1:9" ht="25.5">
      <c r="A550" s="241" t="s">
        <v>601</v>
      </c>
      <c r="B550" s="242" t="s">
        <v>201</v>
      </c>
      <c r="C550" s="242" t="s">
        <v>389</v>
      </c>
      <c r="D550" s="242" t="s">
        <v>1011</v>
      </c>
      <c r="E550" s="242"/>
      <c r="F550" s="243">
        <v>9773195.9399999995</v>
      </c>
      <c r="G550" s="243">
        <v>9724557.0999999996</v>
      </c>
      <c r="H550" s="243">
        <f t="shared" si="17"/>
        <v>99.502324108729582</v>
      </c>
      <c r="I550" s="123" t="str">
        <f t="shared" si="16"/>
        <v>05059000000000</v>
      </c>
    </row>
    <row r="551" spans="1:9" ht="38.25">
      <c r="A551" s="241" t="s">
        <v>390</v>
      </c>
      <c r="B551" s="242" t="s">
        <v>201</v>
      </c>
      <c r="C551" s="242" t="s">
        <v>389</v>
      </c>
      <c r="D551" s="242" t="s">
        <v>1013</v>
      </c>
      <c r="E551" s="242"/>
      <c r="F551" s="243">
        <v>6354823.2000000002</v>
      </c>
      <c r="G551" s="243">
        <v>6306184.3600000003</v>
      </c>
      <c r="H551" s="243">
        <f t="shared" si="17"/>
        <v>99.234615370573962</v>
      </c>
      <c r="I551" s="123" t="str">
        <f t="shared" si="16"/>
        <v>05059050000000</v>
      </c>
    </row>
    <row r="552" spans="1:9" ht="63.75">
      <c r="A552" s="241" t="s">
        <v>2048</v>
      </c>
      <c r="B552" s="242" t="s">
        <v>201</v>
      </c>
      <c r="C552" s="242" t="s">
        <v>389</v>
      </c>
      <c r="D552" s="242" t="s">
        <v>2049</v>
      </c>
      <c r="E552" s="242"/>
      <c r="F552" s="243">
        <v>725268</v>
      </c>
      <c r="G552" s="243">
        <v>725268</v>
      </c>
      <c r="H552" s="243">
        <f t="shared" si="17"/>
        <v>100</v>
      </c>
      <c r="I552" s="123" t="str">
        <f t="shared" si="16"/>
        <v>05059050027242</v>
      </c>
    </row>
    <row r="553" spans="1:9" ht="63.75">
      <c r="A553" s="241" t="s">
        <v>1318</v>
      </c>
      <c r="B553" s="242" t="s">
        <v>201</v>
      </c>
      <c r="C553" s="242" t="s">
        <v>389</v>
      </c>
      <c r="D553" s="242" t="s">
        <v>2049</v>
      </c>
      <c r="E553" s="242" t="s">
        <v>273</v>
      </c>
      <c r="F553" s="243">
        <v>725268</v>
      </c>
      <c r="G553" s="243">
        <v>725268</v>
      </c>
      <c r="H553" s="243">
        <f t="shared" si="17"/>
        <v>100</v>
      </c>
      <c r="I553" s="123" t="str">
        <f t="shared" si="16"/>
        <v>05059050027242100</v>
      </c>
    </row>
    <row r="554" spans="1:9">
      <c r="A554" s="241" t="s">
        <v>1190</v>
      </c>
      <c r="B554" s="242" t="s">
        <v>201</v>
      </c>
      <c r="C554" s="242" t="s">
        <v>389</v>
      </c>
      <c r="D554" s="242" t="s">
        <v>2049</v>
      </c>
      <c r="E554" s="242" t="s">
        <v>133</v>
      </c>
      <c r="F554" s="243">
        <v>725268</v>
      </c>
      <c r="G554" s="243">
        <v>725268</v>
      </c>
      <c r="H554" s="243">
        <f t="shared" si="17"/>
        <v>100</v>
      </c>
      <c r="I554" s="123" t="str">
        <f t="shared" si="16"/>
        <v>05059050027242110</v>
      </c>
    </row>
    <row r="555" spans="1:9">
      <c r="A555" s="241" t="s">
        <v>1138</v>
      </c>
      <c r="B555" s="242" t="s">
        <v>201</v>
      </c>
      <c r="C555" s="242" t="s">
        <v>389</v>
      </c>
      <c r="D555" s="242" t="s">
        <v>2049</v>
      </c>
      <c r="E555" s="242" t="s">
        <v>342</v>
      </c>
      <c r="F555" s="243">
        <v>557042</v>
      </c>
      <c r="G555" s="243">
        <v>557042</v>
      </c>
      <c r="H555" s="243">
        <f t="shared" si="17"/>
        <v>100</v>
      </c>
      <c r="I555" s="123" t="str">
        <f t="shared" si="16"/>
        <v>05059050027242111</v>
      </c>
    </row>
    <row r="556" spans="1:9" ht="38.25">
      <c r="A556" s="241" t="s">
        <v>1139</v>
      </c>
      <c r="B556" s="242" t="s">
        <v>201</v>
      </c>
      <c r="C556" s="242" t="s">
        <v>389</v>
      </c>
      <c r="D556" s="242" t="s">
        <v>2049</v>
      </c>
      <c r="E556" s="242" t="s">
        <v>1056</v>
      </c>
      <c r="F556" s="243">
        <v>168226</v>
      </c>
      <c r="G556" s="243">
        <v>168226</v>
      </c>
      <c r="H556" s="243">
        <f t="shared" si="17"/>
        <v>100</v>
      </c>
      <c r="I556" s="123" t="str">
        <f t="shared" si="16"/>
        <v>05059050027242119</v>
      </c>
    </row>
    <row r="557" spans="1:9" ht="38.25">
      <c r="A557" s="241" t="s">
        <v>390</v>
      </c>
      <c r="B557" s="242" t="s">
        <v>201</v>
      </c>
      <c r="C557" s="242" t="s">
        <v>389</v>
      </c>
      <c r="D557" s="242" t="s">
        <v>694</v>
      </c>
      <c r="E557" s="242"/>
      <c r="F557" s="243">
        <v>5569621.4900000002</v>
      </c>
      <c r="G557" s="243">
        <v>5520982.6500000004</v>
      </c>
      <c r="H557" s="243">
        <f t="shared" si="17"/>
        <v>99.126711930293126</v>
      </c>
      <c r="I557" s="123" t="str">
        <f t="shared" si="16"/>
        <v>05059050040000</v>
      </c>
    </row>
    <row r="558" spans="1:9" ht="63.75">
      <c r="A558" s="241" t="s">
        <v>1318</v>
      </c>
      <c r="B558" s="242" t="s">
        <v>201</v>
      </c>
      <c r="C558" s="242" t="s">
        <v>389</v>
      </c>
      <c r="D558" s="242" t="s">
        <v>694</v>
      </c>
      <c r="E558" s="242" t="s">
        <v>273</v>
      </c>
      <c r="F558" s="243">
        <v>5180227</v>
      </c>
      <c r="G558" s="243">
        <v>5141181.49</v>
      </c>
      <c r="H558" s="243">
        <f t="shared" si="17"/>
        <v>99.24625870642349</v>
      </c>
      <c r="I558" s="123" t="str">
        <f t="shared" ref="I558:I573" si="18">CONCATENATE(C558,D558,E558)</f>
        <v>05059050040000100</v>
      </c>
    </row>
    <row r="559" spans="1:9">
      <c r="A559" s="241" t="s">
        <v>1190</v>
      </c>
      <c r="B559" s="242" t="s">
        <v>201</v>
      </c>
      <c r="C559" s="242" t="s">
        <v>389</v>
      </c>
      <c r="D559" s="242" t="s">
        <v>694</v>
      </c>
      <c r="E559" s="242" t="s">
        <v>133</v>
      </c>
      <c r="F559" s="243">
        <v>5180227</v>
      </c>
      <c r="G559" s="243">
        <v>5141181.49</v>
      </c>
      <c r="H559" s="243">
        <f t="shared" si="17"/>
        <v>99.24625870642349</v>
      </c>
      <c r="I559" s="123" t="str">
        <f t="shared" si="18"/>
        <v>05059050040000110</v>
      </c>
    </row>
    <row r="560" spans="1:9">
      <c r="A560" s="241" t="s">
        <v>1138</v>
      </c>
      <c r="B560" s="242" t="s">
        <v>201</v>
      </c>
      <c r="C560" s="242" t="s">
        <v>389</v>
      </c>
      <c r="D560" s="242" t="s">
        <v>694</v>
      </c>
      <c r="E560" s="242" t="s">
        <v>342</v>
      </c>
      <c r="F560" s="243">
        <v>3985573</v>
      </c>
      <c r="G560" s="243">
        <v>3958198</v>
      </c>
      <c r="H560" s="243">
        <f t="shared" si="17"/>
        <v>99.313147695450567</v>
      </c>
      <c r="I560" s="123" t="str">
        <f t="shared" si="18"/>
        <v>05059050040000111</v>
      </c>
    </row>
    <row r="561" spans="1:9" ht="25.5">
      <c r="A561" s="241" t="s">
        <v>1147</v>
      </c>
      <c r="B561" s="242" t="s">
        <v>201</v>
      </c>
      <c r="C561" s="242" t="s">
        <v>389</v>
      </c>
      <c r="D561" s="242" t="s">
        <v>694</v>
      </c>
      <c r="E561" s="242" t="s">
        <v>391</v>
      </c>
      <c r="F561" s="243">
        <v>2620</v>
      </c>
      <c r="G561" s="243">
        <v>2620</v>
      </c>
      <c r="H561" s="243">
        <f t="shared" si="17"/>
        <v>100</v>
      </c>
      <c r="I561" s="123" t="str">
        <f t="shared" si="18"/>
        <v>05059050040000112</v>
      </c>
    </row>
    <row r="562" spans="1:9" ht="38.25">
      <c r="A562" s="241" t="s">
        <v>1139</v>
      </c>
      <c r="B562" s="242" t="s">
        <v>201</v>
      </c>
      <c r="C562" s="242" t="s">
        <v>389</v>
      </c>
      <c r="D562" s="242" t="s">
        <v>694</v>
      </c>
      <c r="E562" s="242" t="s">
        <v>1056</v>
      </c>
      <c r="F562" s="243">
        <v>1192034</v>
      </c>
      <c r="G562" s="243">
        <v>1180363.49</v>
      </c>
      <c r="H562" s="243">
        <f t="shared" si="17"/>
        <v>99.020958294813738</v>
      </c>
      <c r="I562" s="123" t="str">
        <f t="shared" si="18"/>
        <v>05059050040000119</v>
      </c>
    </row>
    <row r="563" spans="1:9" ht="25.5">
      <c r="A563" s="241" t="s">
        <v>1319</v>
      </c>
      <c r="B563" s="242" t="s">
        <v>201</v>
      </c>
      <c r="C563" s="242" t="s">
        <v>389</v>
      </c>
      <c r="D563" s="242" t="s">
        <v>694</v>
      </c>
      <c r="E563" s="242" t="s">
        <v>1320</v>
      </c>
      <c r="F563" s="243">
        <v>339393.96</v>
      </c>
      <c r="G563" s="243">
        <v>329800.63</v>
      </c>
      <c r="H563" s="243">
        <f t="shared" si="17"/>
        <v>97.173394010901077</v>
      </c>
      <c r="I563" s="123" t="str">
        <f t="shared" si="18"/>
        <v>05059050040000200</v>
      </c>
    </row>
    <row r="564" spans="1:9" ht="25.5">
      <c r="A564" s="241" t="s">
        <v>1196</v>
      </c>
      <c r="B564" s="242" t="s">
        <v>201</v>
      </c>
      <c r="C564" s="242" t="s">
        <v>389</v>
      </c>
      <c r="D564" s="242" t="s">
        <v>694</v>
      </c>
      <c r="E564" s="242" t="s">
        <v>1197</v>
      </c>
      <c r="F564" s="243">
        <v>339393.96</v>
      </c>
      <c r="G564" s="243">
        <v>329800.63</v>
      </c>
      <c r="H564" s="243">
        <f t="shared" si="17"/>
        <v>97.173394010901077</v>
      </c>
      <c r="I564" s="123" t="str">
        <f t="shared" si="18"/>
        <v>05059050040000240</v>
      </c>
    </row>
    <row r="565" spans="1:9">
      <c r="A565" s="241" t="s">
        <v>1223</v>
      </c>
      <c r="B565" s="242" t="s">
        <v>201</v>
      </c>
      <c r="C565" s="242" t="s">
        <v>389</v>
      </c>
      <c r="D565" s="242" t="s">
        <v>694</v>
      </c>
      <c r="E565" s="242" t="s">
        <v>329</v>
      </c>
      <c r="F565" s="243">
        <v>339393.96</v>
      </c>
      <c r="G565" s="243">
        <v>329800.63</v>
      </c>
      <c r="H565" s="243">
        <f t="shared" si="17"/>
        <v>97.173394010901077</v>
      </c>
      <c r="I565" s="123" t="str">
        <f t="shared" si="18"/>
        <v>05059050040000244</v>
      </c>
    </row>
    <row r="566" spans="1:9">
      <c r="A566" s="241" t="s">
        <v>1321</v>
      </c>
      <c r="B566" s="242" t="s">
        <v>201</v>
      </c>
      <c r="C566" s="242" t="s">
        <v>389</v>
      </c>
      <c r="D566" s="242" t="s">
        <v>694</v>
      </c>
      <c r="E566" s="242" t="s">
        <v>1322</v>
      </c>
      <c r="F566" s="243">
        <v>50000.53</v>
      </c>
      <c r="G566" s="243">
        <v>50000.53</v>
      </c>
      <c r="H566" s="243">
        <f t="shared" si="17"/>
        <v>100</v>
      </c>
      <c r="I566" s="123" t="str">
        <f t="shared" si="18"/>
        <v>05059050040000800</v>
      </c>
    </row>
    <row r="567" spans="1:9">
      <c r="A567" s="241" t="s">
        <v>1201</v>
      </c>
      <c r="B567" s="242" t="s">
        <v>201</v>
      </c>
      <c r="C567" s="242" t="s">
        <v>389</v>
      </c>
      <c r="D567" s="242" t="s">
        <v>694</v>
      </c>
      <c r="E567" s="242" t="s">
        <v>1202</v>
      </c>
      <c r="F567" s="243">
        <v>50000.53</v>
      </c>
      <c r="G567" s="243">
        <v>50000.53</v>
      </c>
      <c r="H567" s="243">
        <f t="shared" si="17"/>
        <v>100</v>
      </c>
      <c r="I567" s="123" t="str">
        <f t="shared" si="18"/>
        <v>05059050040000850</v>
      </c>
    </row>
    <row r="568" spans="1:9">
      <c r="A568" s="241" t="s">
        <v>1057</v>
      </c>
      <c r="B568" s="242" t="s">
        <v>201</v>
      </c>
      <c r="C568" s="242" t="s">
        <v>389</v>
      </c>
      <c r="D568" s="242" t="s">
        <v>694</v>
      </c>
      <c r="E568" s="242" t="s">
        <v>1058</v>
      </c>
      <c r="F568" s="243">
        <v>50000.53</v>
      </c>
      <c r="G568" s="243">
        <v>50000.53</v>
      </c>
      <c r="H568" s="243">
        <f t="shared" si="17"/>
        <v>100</v>
      </c>
      <c r="I568" s="123" t="str">
        <f t="shared" si="18"/>
        <v>05059050040000853</v>
      </c>
    </row>
    <row r="569" spans="1:9" ht="51">
      <c r="A569" s="241" t="s">
        <v>563</v>
      </c>
      <c r="B569" s="242" t="s">
        <v>201</v>
      </c>
      <c r="C569" s="242" t="s">
        <v>389</v>
      </c>
      <c r="D569" s="242" t="s">
        <v>695</v>
      </c>
      <c r="E569" s="242"/>
      <c r="F569" s="243">
        <v>59933.71</v>
      </c>
      <c r="G569" s="243">
        <v>59933.71</v>
      </c>
      <c r="H569" s="243">
        <f t="shared" si="17"/>
        <v>100</v>
      </c>
      <c r="I569" s="123" t="str">
        <f t="shared" si="18"/>
        <v>05059050047000</v>
      </c>
    </row>
    <row r="570" spans="1:9" ht="63.75">
      <c r="A570" s="241" t="s">
        <v>1318</v>
      </c>
      <c r="B570" s="242" t="s">
        <v>201</v>
      </c>
      <c r="C570" s="242" t="s">
        <v>389</v>
      </c>
      <c r="D570" s="242" t="s">
        <v>695</v>
      </c>
      <c r="E570" s="242" t="s">
        <v>273</v>
      </c>
      <c r="F570" s="243">
        <v>59933.71</v>
      </c>
      <c r="G570" s="243">
        <v>59933.71</v>
      </c>
      <c r="H570" s="243">
        <f t="shared" si="17"/>
        <v>100</v>
      </c>
      <c r="I570" s="123" t="str">
        <f t="shared" si="18"/>
        <v>05059050047000100</v>
      </c>
    </row>
    <row r="571" spans="1:9">
      <c r="A571" s="241" t="s">
        <v>1190</v>
      </c>
      <c r="B571" s="242" t="s">
        <v>201</v>
      </c>
      <c r="C571" s="242" t="s">
        <v>389</v>
      </c>
      <c r="D571" s="242" t="s">
        <v>695</v>
      </c>
      <c r="E571" s="242" t="s">
        <v>133</v>
      </c>
      <c r="F571" s="243">
        <v>59933.71</v>
      </c>
      <c r="G571" s="243">
        <v>59933.71</v>
      </c>
      <c r="H571" s="243">
        <f t="shared" si="17"/>
        <v>100</v>
      </c>
      <c r="I571" s="123" t="str">
        <f t="shared" si="18"/>
        <v>05059050047000110</v>
      </c>
    </row>
    <row r="572" spans="1:9" ht="25.5">
      <c r="A572" s="241" t="s">
        <v>1147</v>
      </c>
      <c r="B572" s="242" t="s">
        <v>201</v>
      </c>
      <c r="C572" s="242" t="s">
        <v>389</v>
      </c>
      <c r="D572" s="242" t="s">
        <v>695</v>
      </c>
      <c r="E572" s="242" t="s">
        <v>391</v>
      </c>
      <c r="F572" s="243">
        <v>59933.71</v>
      </c>
      <c r="G572" s="243">
        <v>59933.71</v>
      </c>
      <c r="H572" s="243">
        <f t="shared" si="17"/>
        <v>100</v>
      </c>
      <c r="I572" s="123" t="str">
        <f t="shared" si="18"/>
        <v>05059050047000112</v>
      </c>
    </row>
    <row r="573" spans="1:9" ht="25.5">
      <c r="A573" s="241" t="s">
        <v>431</v>
      </c>
      <c r="B573" s="242" t="s">
        <v>201</v>
      </c>
      <c r="C573" s="242" t="s">
        <v>389</v>
      </c>
      <c r="D573" s="242" t="s">
        <v>1015</v>
      </c>
      <c r="E573" s="242"/>
      <c r="F573" s="243">
        <v>3418372.74</v>
      </c>
      <c r="G573" s="243">
        <v>3418372.74</v>
      </c>
      <c r="H573" s="243">
        <f t="shared" si="17"/>
        <v>100</v>
      </c>
      <c r="I573" s="123" t="str">
        <f t="shared" si="18"/>
        <v>05059090000000</v>
      </c>
    </row>
    <row r="574" spans="1:9" ht="38.25">
      <c r="A574" s="241" t="s">
        <v>2037</v>
      </c>
      <c r="B574" s="242" t="s">
        <v>201</v>
      </c>
      <c r="C574" s="242" t="s">
        <v>389</v>
      </c>
      <c r="D574" s="242" t="s">
        <v>2038</v>
      </c>
      <c r="E574" s="242"/>
      <c r="F574" s="243">
        <v>3418372.74</v>
      </c>
      <c r="G574" s="243">
        <v>3418372.74</v>
      </c>
      <c r="H574" s="243">
        <f t="shared" si="17"/>
        <v>100</v>
      </c>
      <c r="I574" s="123" t="str">
        <f t="shared" ref="I574:I614" si="19">CONCATENATE(C574,D574,E574)</f>
        <v>05059090080010</v>
      </c>
    </row>
    <row r="575" spans="1:9">
      <c r="A575" s="241" t="s">
        <v>1321</v>
      </c>
      <c r="B575" s="242" t="s">
        <v>201</v>
      </c>
      <c r="C575" s="242" t="s">
        <v>389</v>
      </c>
      <c r="D575" s="242" t="s">
        <v>2038</v>
      </c>
      <c r="E575" s="242" t="s">
        <v>1322</v>
      </c>
      <c r="F575" s="243">
        <v>3418372.74</v>
      </c>
      <c r="G575" s="243">
        <v>3418372.74</v>
      </c>
      <c r="H575" s="243">
        <f t="shared" si="17"/>
        <v>100</v>
      </c>
      <c r="I575" s="123" t="str">
        <f t="shared" si="19"/>
        <v>05059090080010800</v>
      </c>
    </row>
    <row r="576" spans="1:9">
      <c r="A576" s="241" t="s">
        <v>1210</v>
      </c>
      <c r="B576" s="242" t="s">
        <v>201</v>
      </c>
      <c r="C576" s="242" t="s">
        <v>389</v>
      </c>
      <c r="D576" s="242" t="s">
        <v>2038</v>
      </c>
      <c r="E576" s="242" t="s">
        <v>201</v>
      </c>
      <c r="F576" s="243">
        <v>3412865.74</v>
      </c>
      <c r="G576" s="243">
        <v>3412865.74</v>
      </c>
      <c r="H576" s="243">
        <f t="shared" si="17"/>
        <v>100</v>
      </c>
      <c r="I576" s="123" t="str">
        <f t="shared" si="19"/>
        <v>05059090080010830</v>
      </c>
    </row>
    <row r="577" spans="1:9" ht="38.25">
      <c r="A577" s="241" t="s">
        <v>1162</v>
      </c>
      <c r="B577" s="242" t="s">
        <v>201</v>
      </c>
      <c r="C577" s="242" t="s">
        <v>389</v>
      </c>
      <c r="D577" s="242" t="s">
        <v>2038</v>
      </c>
      <c r="E577" s="242" t="s">
        <v>432</v>
      </c>
      <c r="F577" s="243">
        <v>3412865.74</v>
      </c>
      <c r="G577" s="243">
        <v>3412865.74</v>
      </c>
      <c r="H577" s="243">
        <f t="shared" si="17"/>
        <v>100</v>
      </c>
      <c r="I577" s="123" t="str">
        <f t="shared" si="19"/>
        <v>05059090080010831</v>
      </c>
    </row>
    <row r="578" spans="1:9">
      <c r="A578" s="241" t="s">
        <v>1201</v>
      </c>
      <c r="B578" s="242" t="s">
        <v>201</v>
      </c>
      <c r="C578" s="242" t="s">
        <v>389</v>
      </c>
      <c r="D578" s="242" t="s">
        <v>2038</v>
      </c>
      <c r="E578" s="242" t="s">
        <v>1202</v>
      </c>
      <c r="F578" s="243">
        <v>5507</v>
      </c>
      <c r="G578" s="243">
        <v>5507</v>
      </c>
      <c r="H578" s="243">
        <f t="shared" si="17"/>
        <v>100</v>
      </c>
      <c r="I578" s="123" t="str">
        <f t="shared" si="19"/>
        <v>05059090080010850</v>
      </c>
    </row>
    <row r="579" spans="1:9">
      <c r="A579" s="241" t="s">
        <v>2092</v>
      </c>
      <c r="B579" s="242" t="s">
        <v>201</v>
      </c>
      <c r="C579" s="242" t="s">
        <v>389</v>
      </c>
      <c r="D579" s="242" t="s">
        <v>2038</v>
      </c>
      <c r="E579" s="242" t="s">
        <v>2093</v>
      </c>
      <c r="F579" s="243">
        <v>5507</v>
      </c>
      <c r="G579" s="243">
        <v>5507</v>
      </c>
      <c r="H579" s="243">
        <f t="shared" si="17"/>
        <v>100</v>
      </c>
      <c r="I579" s="123" t="str">
        <f t="shared" si="19"/>
        <v>05059090080010852</v>
      </c>
    </row>
    <row r="580" spans="1:9">
      <c r="A580" s="241" t="s">
        <v>1646</v>
      </c>
      <c r="B580" s="242" t="s">
        <v>201</v>
      </c>
      <c r="C580" s="242" t="s">
        <v>1647</v>
      </c>
      <c r="D580" s="242"/>
      <c r="E580" s="242"/>
      <c r="F580" s="243">
        <v>3800000</v>
      </c>
      <c r="G580" s="243">
        <v>0</v>
      </c>
      <c r="H580" s="243">
        <f t="shared" si="17"/>
        <v>0</v>
      </c>
      <c r="I580" s="123" t="str">
        <f t="shared" si="19"/>
        <v>0600</v>
      </c>
    </row>
    <row r="581" spans="1:9">
      <c r="A581" s="241" t="s">
        <v>1648</v>
      </c>
      <c r="B581" s="242" t="s">
        <v>201</v>
      </c>
      <c r="C581" s="242" t="s">
        <v>1649</v>
      </c>
      <c r="D581" s="242"/>
      <c r="E581" s="242"/>
      <c r="F581" s="243">
        <v>3800000</v>
      </c>
      <c r="G581" s="243">
        <v>0</v>
      </c>
      <c r="H581" s="243">
        <f t="shared" si="17"/>
        <v>0</v>
      </c>
      <c r="I581" s="123" t="str">
        <f t="shared" si="19"/>
        <v>0605</v>
      </c>
    </row>
    <row r="582" spans="1:9" ht="25.5">
      <c r="A582" s="241" t="s">
        <v>1708</v>
      </c>
      <c r="B582" s="242" t="s">
        <v>201</v>
      </c>
      <c r="C582" s="242" t="s">
        <v>1649</v>
      </c>
      <c r="D582" s="242" t="s">
        <v>1709</v>
      </c>
      <c r="E582" s="242"/>
      <c r="F582" s="243">
        <v>3800000</v>
      </c>
      <c r="G582" s="243">
        <v>0</v>
      </c>
      <c r="H582" s="243">
        <f t="shared" ref="H582:H645" si="20">G582/F582*100</f>
        <v>0</v>
      </c>
      <c r="I582" s="123" t="str">
        <f t="shared" si="19"/>
        <v>06050200000000</v>
      </c>
    </row>
    <row r="583" spans="1:9" ht="25.5">
      <c r="A583" s="241" t="s">
        <v>822</v>
      </c>
      <c r="B583" s="242" t="s">
        <v>201</v>
      </c>
      <c r="C583" s="242" t="s">
        <v>1649</v>
      </c>
      <c r="D583" s="242" t="s">
        <v>1710</v>
      </c>
      <c r="E583" s="242"/>
      <c r="F583" s="243">
        <v>3800000</v>
      </c>
      <c r="G583" s="243">
        <v>0</v>
      </c>
      <c r="H583" s="243">
        <f t="shared" si="20"/>
        <v>0</v>
      </c>
      <c r="I583" s="123" t="str">
        <f t="shared" si="19"/>
        <v>06050210000000</v>
      </c>
    </row>
    <row r="584" spans="1:9" ht="76.5">
      <c r="A584" s="241" t="s">
        <v>1805</v>
      </c>
      <c r="B584" s="242" t="s">
        <v>201</v>
      </c>
      <c r="C584" s="242" t="s">
        <v>1649</v>
      </c>
      <c r="D584" s="242" t="s">
        <v>1804</v>
      </c>
      <c r="E584" s="242"/>
      <c r="F584" s="243">
        <v>3800000</v>
      </c>
      <c r="G584" s="243">
        <v>0</v>
      </c>
      <c r="H584" s="243">
        <f t="shared" si="20"/>
        <v>0</v>
      </c>
      <c r="I584" s="123" t="str">
        <f t="shared" si="19"/>
        <v>060502100S4630</v>
      </c>
    </row>
    <row r="585" spans="1:9" ht="25.5">
      <c r="A585" s="241" t="s">
        <v>1319</v>
      </c>
      <c r="B585" s="242" t="s">
        <v>201</v>
      </c>
      <c r="C585" s="242" t="s">
        <v>1649</v>
      </c>
      <c r="D585" s="242" t="s">
        <v>1804</v>
      </c>
      <c r="E585" s="242" t="s">
        <v>1320</v>
      </c>
      <c r="F585" s="243">
        <v>3800000</v>
      </c>
      <c r="G585" s="243">
        <v>0</v>
      </c>
      <c r="H585" s="243">
        <f t="shared" si="20"/>
        <v>0</v>
      </c>
      <c r="I585" s="123" t="str">
        <f t="shared" si="19"/>
        <v>060502100S4630200</v>
      </c>
    </row>
    <row r="586" spans="1:9" ht="25.5">
      <c r="A586" s="241" t="s">
        <v>1196</v>
      </c>
      <c r="B586" s="242" t="s">
        <v>201</v>
      </c>
      <c r="C586" s="242" t="s">
        <v>1649</v>
      </c>
      <c r="D586" s="242" t="s">
        <v>1804</v>
      </c>
      <c r="E586" s="242" t="s">
        <v>1197</v>
      </c>
      <c r="F586" s="243">
        <v>3800000</v>
      </c>
      <c r="G586" s="243">
        <v>0</v>
      </c>
      <c r="H586" s="243">
        <f t="shared" si="20"/>
        <v>0</v>
      </c>
      <c r="I586" s="123" t="str">
        <f t="shared" si="19"/>
        <v>060502100S4630240</v>
      </c>
    </row>
    <row r="587" spans="1:9">
      <c r="A587" s="241" t="s">
        <v>1223</v>
      </c>
      <c r="B587" s="242" t="s">
        <v>201</v>
      </c>
      <c r="C587" s="242" t="s">
        <v>1649</v>
      </c>
      <c r="D587" s="242" t="s">
        <v>1804</v>
      </c>
      <c r="E587" s="242" t="s">
        <v>329</v>
      </c>
      <c r="F587" s="243">
        <v>3800000</v>
      </c>
      <c r="G587" s="243">
        <v>0</v>
      </c>
      <c r="H587" s="243">
        <f t="shared" si="20"/>
        <v>0</v>
      </c>
      <c r="I587" s="123" t="str">
        <f t="shared" si="19"/>
        <v>060502100S4630244</v>
      </c>
    </row>
    <row r="588" spans="1:9">
      <c r="A588" s="241" t="s">
        <v>140</v>
      </c>
      <c r="B588" s="242" t="s">
        <v>201</v>
      </c>
      <c r="C588" s="242" t="s">
        <v>1142</v>
      </c>
      <c r="D588" s="242"/>
      <c r="E588" s="242"/>
      <c r="F588" s="243">
        <v>5154560</v>
      </c>
      <c r="G588" s="243">
        <v>3000</v>
      </c>
      <c r="H588" s="243">
        <f t="shared" si="20"/>
        <v>5.8200893965731318E-2</v>
      </c>
      <c r="I588" s="123" t="str">
        <f t="shared" si="19"/>
        <v>0700</v>
      </c>
    </row>
    <row r="589" spans="1:9">
      <c r="A589" s="241" t="s">
        <v>152</v>
      </c>
      <c r="B589" s="242" t="s">
        <v>201</v>
      </c>
      <c r="C589" s="242" t="s">
        <v>408</v>
      </c>
      <c r="D589" s="242"/>
      <c r="E589" s="242"/>
      <c r="F589" s="243">
        <v>3000</v>
      </c>
      <c r="G589" s="243">
        <v>3000</v>
      </c>
      <c r="H589" s="243">
        <f t="shared" si="20"/>
        <v>100</v>
      </c>
      <c r="I589" s="123" t="str">
        <f t="shared" si="19"/>
        <v>0701</v>
      </c>
    </row>
    <row r="590" spans="1:9" ht="25.5">
      <c r="A590" s="241" t="s">
        <v>442</v>
      </c>
      <c r="B590" s="242" t="s">
        <v>201</v>
      </c>
      <c r="C590" s="242" t="s">
        <v>408</v>
      </c>
      <c r="D590" s="242" t="s">
        <v>971</v>
      </c>
      <c r="E590" s="242"/>
      <c r="F590" s="243">
        <v>3000</v>
      </c>
      <c r="G590" s="243">
        <v>3000</v>
      </c>
      <c r="H590" s="243">
        <f t="shared" si="20"/>
        <v>100</v>
      </c>
      <c r="I590" s="123" t="str">
        <f t="shared" si="19"/>
        <v>07010100000000</v>
      </c>
    </row>
    <row r="591" spans="1:9" ht="25.5">
      <c r="A591" s="241" t="s">
        <v>443</v>
      </c>
      <c r="B591" s="242" t="s">
        <v>201</v>
      </c>
      <c r="C591" s="242" t="s">
        <v>408</v>
      </c>
      <c r="D591" s="242" t="s">
        <v>972</v>
      </c>
      <c r="E591" s="242"/>
      <c r="F591" s="243">
        <v>3000</v>
      </c>
      <c r="G591" s="243">
        <v>3000</v>
      </c>
      <c r="H591" s="243">
        <f t="shared" si="20"/>
        <v>100</v>
      </c>
      <c r="I591" s="123" t="str">
        <f t="shared" si="19"/>
        <v>07010110000000</v>
      </c>
    </row>
    <row r="592" spans="1:9" ht="63.75">
      <c r="A592" s="241" t="s">
        <v>850</v>
      </c>
      <c r="B592" s="242" t="s">
        <v>201</v>
      </c>
      <c r="C592" s="242" t="s">
        <v>408</v>
      </c>
      <c r="D592" s="242" t="s">
        <v>849</v>
      </c>
      <c r="E592" s="242"/>
      <c r="F592" s="243">
        <v>3000</v>
      </c>
      <c r="G592" s="243">
        <v>3000</v>
      </c>
      <c r="H592" s="243">
        <f t="shared" si="20"/>
        <v>100</v>
      </c>
      <c r="I592" s="123" t="str">
        <f t="shared" si="19"/>
        <v>07010110080010</v>
      </c>
    </row>
    <row r="593" spans="1:9">
      <c r="A593" s="241" t="s">
        <v>1321</v>
      </c>
      <c r="B593" s="242" t="s">
        <v>201</v>
      </c>
      <c r="C593" s="242" t="s">
        <v>408</v>
      </c>
      <c r="D593" s="242" t="s">
        <v>849</v>
      </c>
      <c r="E593" s="242" t="s">
        <v>1322</v>
      </c>
      <c r="F593" s="243">
        <v>3000</v>
      </c>
      <c r="G593" s="243">
        <v>3000</v>
      </c>
      <c r="H593" s="243">
        <f t="shared" si="20"/>
        <v>100</v>
      </c>
      <c r="I593" s="123" t="str">
        <f t="shared" si="19"/>
        <v>07010110080010800</v>
      </c>
    </row>
    <row r="594" spans="1:9">
      <c r="A594" s="241" t="s">
        <v>1201</v>
      </c>
      <c r="B594" s="242" t="s">
        <v>201</v>
      </c>
      <c r="C594" s="242" t="s">
        <v>408</v>
      </c>
      <c r="D594" s="242" t="s">
        <v>849</v>
      </c>
      <c r="E594" s="242" t="s">
        <v>1202</v>
      </c>
      <c r="F594" s="243">
        <v>3000</v>
      </c>
      <c r="G594" s="243">
        <v>3000</v>
      </c>
      <c r="H594" s="243">
        <f t="shared" si="20"/>
        <v>100</v>
      </c>
      <c r="I594" s="123" t="str">
        <f t="shared" si="19"/>
        <v>07010110080010850</v>
      </c>
    </row>
    <row r="595" spans="1:9">
      <c r="A595" s="241" t="s">
        <v>2092</v>
      </c>
      <c r="B595" s="242" t="s">
        <v>201</v>
      </c>
      <c r="C595" s="242" t="s">
        <v>408</v>
      </c>
      <c r="D595" s="242" t="s">
        <v>849</v>
      </c>
      <c r="E595" s="242" t="s">
        <v>2093</v>
      </c>
      <c r="F595" s="243">
        <v>3000</v>
      </c>
      <c r="G595" s="243">
        <v>3000</v>
      </c>
      <c r="H595" s="243">
        <f t="shared" si="20"/>
        <v>100</v>
      </c>
      <c r="I595" s="123" t="str">
        <f t="shared" si="19"/>
        <v>07010110080010852</v>
      </c>
    </row>
    <row r="596" spans="1:9">
      <c r="A596" s="241" t="s">
        <v>1075</v>
      </c>
      <c r="B596" s="242" t="s">
        <v>201</v>
      </c>
      <c r="C596" s="242" t="s">
        <v>365</v>
      </c>
      <c r="D596" s="242"/>
      <c r="E596" s="242"/>
      <c r="F596" s="243">
        <v>5151560</v>
      </c>
      <c r="G596" s="243">
        <v>0</v>
      </c>
      <c r="H596" s="243">
        <f t="shared" si="20"/>
        <v>0</v>
      </c>
      <c r="I596" s="123" t="str">
        <f t="shared" si="19"/>
        <v>0707</v>
      </c>
    </row>
    <row r="597" spans="1:9" ht="25.5">
      <c r="A597" s="241" t="s">
        <v>442</v>
      </c>
      <c r="B597" s="242" t="s">
        <v>201</v>
      </c>
      <c r="C597" s="242" t="s">
        <v>365</v>
      </c>
      <c r="D597" s="242" t="s">
        <v>971</v>
      </c>
      <c r="E597" s="242"/>
      <c r="F597" s="243">
        <v>5151560</v>
      </c>
      <c r="G597" s="243">
        <v>0</v>
      </c>
      <c r="H597" s="243">
        <f t="shared" si="20"/>
        <v>0</v>
      </c>
      <c r="I597" s="123" t="str">
        <f t="shared" si="19"/>
        <v>07070100000000</v>
      </c>
    </row>
    <row r="598" spans="1:9" ht="25.5">
      <c r="A598" s="241" t="s">
        <v>443</v>
      </c>
      <c r="B598" s="242" t="s">
        <v>201</v>
      </c>
      <c r="C598" s="242" t="s">
        <v>365</v>
      </c>
      <c r="D598" s="242" t="s">
        <v>972</v>
      </c>
      <c r="E598" s="242"/>
      <c r="F598" s="243">
        <v>5151560</v>
      </c>
      <c r="G598" s="243">
        <v>0</v>
      </c>
      <c r="H598" s="243">
        <f t="shared" si="20"/>
        <v>0</v>
      </c>
      <c r="I598" s="123" t="str">
        <f t="shared" si="19"/>
        <v>07070110000000</v>
      </c>
    </row>
    <row r="599" spans="1:9" ht="89.25">
      <c r="A599" s="241" t="s">
        <v>2050</v>
      </c>
      <c r="B599" s="242" t="s">
        <v>201</v>
      </c>
      <c r="C599" s="242" t="s">
        <v>365</v>
      </c>
      <c r="D599" s="242" t="s">
        <v>2051</v>
      </c>
      <c r="E599" s="242"/>
      <c r="F599" s="243">
        <v>5151560</v>
      </c>
      <c r="G599" s="243">
        <v>0</v>
      </c>
      <c r="H599" s="243">
        <f t="shared" si="20"/>
        <v>0</v>
      </c>
      <c r="I599" s="123" t="str">
        <f t="shared" si="19"/>
        <v>070701100S5530</v>
      </c>
    </row>
    <row r="600" spans="1:9" ht="25.5">
      <c r="A600" s="241" t="s">
        <v>1319</v>
      </c>
      <c r="B600" s="242" t="s">
        <v>201</v>
      </c>
      <c r="C600" s="242" t="s">
        <v>365</v>
      </c>
      <c r="D600" s="242" t="s">
        <v>2051</v>
      </c>
      <c r="E600" s="242" t="s">
        <v>1320</v>
      </c>
      <c r="F600" s="243">
        <v>5151560</v>
      </c>
      <c r="G600" s="243">
        <v>0</v>
      </c>
      <c r="H600" s="243">
        <f t="shared" si="20"/>
        <v>0</v>
      </c>
      <c r="I600" s="123" t="str">
        <f t="shared" si="19"/>
        <v>070701100S5530200</v>
      </c>
    </row>
    <row r="601" spans="1:9" ht="25.5">
      <c r="A601" s="241" t="s">
        <v>1196</v>
      </c>
      <c r="B601" s="242" t="s">
        <v>201</v>
      </c>
      <c r="C601" s="242" t="s">
        <v>365</v>
      </c>
      <c r="D601" s="242" t="s">
        <v>2051</v>
      </c>
      <c r="E601" s="242" t="s">
        <v>1197</v>
      </c>
      <c r="F601" s="243">
        <v>5151560</v>
      </c>
      <c r="G601" s="243">
        <v>0</v>
      </c>
      <c r="H601" s="243">
        <f t="shared" si="20"/>
        <v>0</v>
      </c>
      <c r="I601" s="123" t="str">
        <f t="shared" si="19"/>
        <v>070701100S5530240</v>
      </c>
    </row>
    <row r="602" spans="1:9">
      <c r="A602" s="241" t="s">
        <v>1223</v>
      </c>
      <c r="B602" s="242" t="s">
        <v>201</v>
      </c>
      <c r="C602" s="242" t="s">
        <v>365</v>
      </c>
      <c r="D602" s="242" t="s">
        <v>2051</v>
      </c>
      <c r="E602" s="242" t="s">
        <v>329</v>
      </c>
      <c r="F602" s="243">
        <v>5151560</v>
      </c>
      <c r="G602" s="243">
        <v>0</v>
      </c>
      <c r="H602" s="243">
        <f t="shared" si="20"/>
        <v>0</v>
      </c>
      <c r="I602" s="123" t="str">
        <f t="shared" si="19"/>
        <v>070701100S5530244</v>
      </c>
    </row>
    <row r="603" spans="1:9">
      <c r="A603" s="241" t="s">
        <v>249</v>
      </c>
      <c r="B603" s="242" t="s">
        <v>201</v>
      </c>
      <c r="C603" s="242" t="s">
        <v>1148</v>
      </c>
      <c r="D603" s="242"/>
      <c r="E603" s="242"/>
      <c r="F603" s="243">
        <v>22109153.359999999</v>
      </c>
      <c r="G603" s="243">
        <v>22072453.359999999</v>
      </c>
      <c r="H603" s="243">
        <f t="shared" si="20"/>
        <v>99.834005403090657</v>
      </c>
      <c r="I603" s="123" t="str">
        <f t="shared" si="19"/>
        <v>0800</v>
      </c>
    </row>
    <row r="604" spans="1:9">
      <c r="A604" s="241" t="s">
        <v>209</v>
      </c>
      <c r="B604" s="242" t="s">
        <v>201</v>
      </c>
      <c r="C604" s="242" t="s">
        <v>392</v>
      </c>
      <c r="D604" s="242"/>
      <c r="E604" s="242"/>
      <c r="F604" s="243">
        <v>22109153.359999999</v>
      </c>
      <c r="G604" s="243">
        <v>22072453.359999999</v>
      </c>
      <c r="H604" s="243">
        <f t="shared" si="20"/>
        <v>99.834005403090657</v>
      </c>
      <c r="I604" s="123" t="str">
        <f t="shared" si="19"/>
        <v>0801</v>
      </c>
    </row>
    <row r="605" spans="1:9" ht="25.5">
      <c r="A605" s="241" t="s">
        <v>461</v>
      </c>
      <c r="B605" s="242" t="s">
        <v>201</v>
      </c>
      <c r="C605" s="242" t="s">
        <v>392</v>
      </c>
      <c r="D605" s="242" t="s">
        <v>981</v>
      </c>
      <c r="E605" s="242"/>
      <c r="F605" s="243">
        <v>22109153.359999999</v>
      </c>
      <c r="G605" s="243">
        <v>22072453.359999999</v>
      </c>
      <c r="H605" s="243">
        <f t="shared" si="20"/>
        <v>99.834005403090657</v>
      </c>
      <c r="I605" s="123" t="str">
        <f t="shared" si="19"/>
        <v>08010500000000</v>
      </c>
    </row>
    <row r="606" spans="1:9" ht="25.5">
      <c r="A606" s="241" t="s">
        <v>595</v>
      </c>
      <c r="B606" s="242" t="s">
        <v>201</v>
      </c>
      <c r="C606" s="242" t="s">
        <v>392</v>
      </c>
      <c r="D606" s="242" t="s">
        <v>984</v>
      </c>
      <c r="E606" s="242"/>
      <c r="F606" s="243">
        <v>22109153.359999999</v>
      </c>
      <c r="G606" s="243">
        <v>22072453.359999999</v>
      </c>
      <c r="H606" s="243">
        <f t="shared" si="20"/>
        <v>99.834005403090657</v>
      </c>
      <c r="I606" s="123" t="str">
        <f t="shared" si="19"/>
        <v>08010530000000</v>
      </c>
    </row>
    <row r="607" spans="1:9" ht="51">
      <c r="A607" s="241" t="s">
        <v>2203</v>
      </c>
      <c r="B607" s="242" t="s">
        <v>201</v>
      </c>
      <c r="C607" s="242" t="s">
        <v>392</v>
      </c>
      <c r="D607" s="242" t="s">
        <v>2204</v>
      </c>
      <c r="E607" s="242"/>
      <c r="F607" s="243">
        <v>1835613.36</v>
      </c>
      <c r="G607" s="243">
        <v>1835613.36</v>
      </c>
      <c r="H607" s="243">
        <f t="shared" si="20"/>
        <v>100</v>
      </c>
      <c r="I607" s="123" t="str">
        <f t="shared" si="19"/>
        <v>08010530080040</v>
      </c>
    </row>
    <row r="608" spans="1:9" ht="25.5">
      <c r="A608" s="241" t="s">
        <v>1319</v>
      </c>
      <c r="B608" s="242" t="s">
        <v>201</v>
      </c>
      <c r="C608" s="242" t="s">
        <v>392</v>
      </c>
      <c r="D608" s="242" t="s">
        <v>2204</v>
      </c>
      <c r="E608" s="242" t="s">
        <v>1320</v>
      </c>
      <c r="F608" s="243">
        <v>1835613.36</v>
      </c>
      <c r="G608" s="243">
        <v>1835613.36</v>
      </c>
      <c r="H608" s="243">
        <f t="shared" si="20"/>
        <v>100</v>
      </c>
      <c r="I608" s="123" t="str">
        <f t="shared" si="19"/>
        <v>08010530080040200</v>
      </c>
    </row>
    <row r="609" spans="1:9" ht="25.5">
      <c r="A609" s="241" t="s">
        <v>1196</v>
      </c>
      <c r="B609" s="242" t="s">
        <v>201</v>
      </c>
      <c r="C609" s="242" t="s">
        <v>392</v>
      </c>
      <c r="D609" s="242" t="s">
        <v>2204</v>
      </c>
      <c r="E609" s="242" t="s">
        <v>1197</v>
      </c>
      <c r="F609" s="243">
        <v>1835613.36</v>
      </c>
      <c r="G609" s="243">
        <v>1835613.36</v>
      </c>
      <c r="H609" s="243">
        <f t="shared" si="20"/>
        <v>100</v>
      </c>
      <c r="I609" s="123" t="str">
        <f t="shared" si="19"/>
        <v>08010530080040240</v>
      </c>
    </row>
    <row r="610" spans="1:9" ht="25.5">
      <c r="A610" s="241" t="s">
        <v>343</v>
      </c>
      <c r="B610" s="242" t="s">
        <v>201</v>
      </c>
      <c r="C610" s="242" t="s">
        <v>392</v>
      </c>
      <c r="D610" s="242" t="s">
        <v>2204</v>
      </c>
      <c r="E610" s="242" t="s">
        <v>344</v>
      </c>
      <c r="F610" s="243">
        <v>1835613.36</v>
      </c>
      <c r="G610" s="243">
        <v>1835613.36</v>
      </c>
      <c r="H610" s="243">
        <f t="shared" si="20"/>
        <v>100</v>
      </c>
      <c r="I610" s="123" t="str">
        <f t="shared" si="19"/>
        <v>08010530080040243</v>
      </c>
    </row>
    <row r="611" spans="1:9" ht="76.5">
      <c r="A611" s="241" t="s">
        <v>1635</v>
      </c>
      <c r="B611" s="242" t="s">
        <v>201</v>
      </c>
      <c r="C611" s="242" t="s">
        <v>392</v>
      </c>
      <c r="D611" s="242" t="s">
        <v>1636</v>
      </c>
      <c r="E611" s="242"/>
      <c r="F611" s="243">
        <v>20273540</v>
      </c>
      <c r="G611" s="243">
        <v>20236840</v>
      </c>
      <c r="H611" s="243">
        <f t="shared" si="20"/>
        <v>99.818975867066143</v>
      </c>
      <c r="I611" s="123" t="str">
        <f t="shared" si="19"/>
        <v>0801053A174840</v>
      </c>
    </row>
    <row r="612" spans="1:9" ht="25.5">
      <c r="A612" s="241" t="s">
        <v>1319</v>
      </c>
      <c r="B612" s="242" t="s">
        <v>201</v>
      </c>
      <c r="C612" s="242" t="s">
        <v>392</v>
      </c>
      <c r="D612" s="242" t="s">
        <v>1636</v>
      </c>
      <c r="E612" s="242" t="s">
        <v>1320</v>
      </c>
      <c r="F612" s="243">
        <v>20236840</v>
      </c>
      <c r="G612" s="243">
        <v>20236840</v>
      </c>
      <c r="H612" s="243">
        <f t="shared" si="20"/>
        <v>100</v>
      </c>
      <c r="I612" s="123" t="str">
        <f t="shared" si="19"/>
        <v>0801053A174840200</v>
      </c>
    </row>
    <row r="613" spans="1:9" ht="25.5">
      <c r="A613" s="241" t="s">
        <v>1196</v>
      </c>
      <c r="B613" s="242" t="s">
        <v>201</v>
      </c>
      <c r="C613" s="242" t="s">
        <v>392</v>
      </c>
      <c r="D613" s="242" t="s">
        <v>1636</v>
      </c>
      <c r="E613" s="242" t="s">
        <v>1197</v>
      </c>
      <c r="F613" s="243">
        <v>20236840</v>
      </c>
      <c r="G613" s="243">
        <v>20236840</v>
      </c>
      <c r="H613" s="243">
        <f t="shared" si="20"/>
        <v>100</v>
      </c>
      <c r="I613" s="123" t="str">
        <f t="shared" si="19"/>
        <v>0801053A174840240</v>
      </c>
    </row>
    <row r="614" spans="1:9" ht="25.5">
      <c r="A614" s="241" t="s">
        <v>343</v>
      </c>
      <c r="B614" s="242" t="s">
        <v>201</v>
      </c>
      <c r="C614" s="242" t="s">
        <v>392</v>
      </c>
      <c r="D614" s="242" t="s">
        <v>1636</v>
      </c>
      <c r="E614" s="242" t="s">
        <v>344</v>
      </c>
      <c r="F614" s="243">
        <v>20236840</v>
      </c>
      <c r="G614" s="243">
        <v>20236840</v>
      </c>
      <c r="H614" s="243">
        <f t="shared" si="20"/>
        <v>100</v>
      </c>
      <c r="I614" s="123" t="str">
        <f t="shared" si="19"/>
        <v>0801053A174840243</v>
      </c>
    </row>
    <row r="615" spans="1:9" ht="25.5">
      <c r="A615" s="241" t="s">
        <v>1325</v>
      </c>
      <c r="B615" s="242" t="s">
        <v>201</v>
      </c>
      <c r="C615" s="242" t="s">
        <v>392</v>
      </c>
      <c r="D615" s="242" t="s">
        <v>1636</v>
      </c>
      <c r="E615" s="242" t="s">
        <v>1326</v>
      </c>
      <c r="F615" s="243">
        <v>36700</v>
      </c>
      <c r="G615" s="243">
        <v>0</v>
      </c>
      <c r="H615" s="243">
        <f t="shared" si="20"/>
        <v>0</v>
      </c>
      <c r="I615" s="123" t="str">
        <f t="shared" ref="I615:I678" si="21">CONCATENATE(C615,D615,E615)</f>
        <v>0801053A174840400</v>
      </c>
    </row>
    <row r="616" spans="1:9">
      <c r="A616" s="241" t="s">
        <v>1207</v>
      </c>
      <c r="B616" s="242" t="s">
        <v>201</v>
      </c>
      <c r="C616" s="242" t="s">
        <v>392</v>
      </c>
      <c r="D616" s="242" t="s">
        <v>1636</v>
      </c>
      <c r="E616" s="242" t="s">
        <v>75</v>
      </c>
      <c r="F616" s="243">
        <v>36700</v>
      </c>
      <c r="G616" s="243">
        <v>0</v>
      </c>
      <c r="H616" s="243">
        <f t="shared" si="20"/>
        <v>0</v>
      </c>
      <c r="I616" s="123" t="str">
        <f t="shared" si="21"/>
        <v>0801053A174840410</v>
      </c>
    </row>
    <row r="617" spans="1:9" ht="38.25">
      <c r="A617" s="241" t="s">
        <v>1950</v>
      </c>
      <c r="B617" s="242" t="s">
        <v>201</v>
      </c>
      <c r="C617" s="242" t="s">
        <v>392</v>
      </c>
      <c r="D617" s="242" t="s">
        <v>1636</v>
      </c>
      <c r="E617" s="242" t="s">
        <v>1951</v>
      </c>
      <c r="F617" s="243">
        <v>36700</v>
      </c>
      <c r="G617" s="243">
        <v>0</v>
      </c>
      <c r="H617" s="243">
        <f t="shared" si="20"/>
        <v>0</v>
      </c>
      <c r="I617" s="123" t="str">
        <f t="shared" si="21"/>
        <v>0801053A174840414</v>
      </c>
    </row>
    <row r="618" spans="1:9">
      <c r="A618" s="241" t="s">
        <v>248</v>
      </c>
      <c r="B618" s="242" t="s">
        <v>201</v>
      </c>
      <c r="C618" s="242" t="s">
        <v>1144</v>
      </c>
      <c r="D618" s="242"/>
      <c r="E618" s="242"/>
      <c r="F618" s="243">
        <v>9544635</v>
      </c>
      <c r="G618" s="243">
        <v>9544635</v>
      </c>
      <c r="H618" s="243">
        <f t="shared" si="20"/>
        <v>100</v>
      </c>
      <c r="I618" s="123" t="str">
        <f t="shared" si="21"/>
        <v>1100</v>
      </c>
    </row>
    <row r="619" spans="1:9">
      <c r="A619" s="241" t="s">
        <v>210</v>
      </c>
      <c r="B619" s="242" t="s">
        <v>201</v>
      </c>
      <c r="C619" s="242" t="s">
        <v>381</v>
      </c>
      <c r="D619" s="242"/>
      <c r="E619" s="242"/>
      <c r="F619" s="243">
        <v>9544635</v>
      </c>
      <c r="G619" s="243">
        <v>9544635</v>
      </c>
      <c r="H619" s="243">
        <f t="shared" si="20"/>
        <v>100</v>
      </c>
      <c r="I619" s="123" t="str">
        <f t="shared" si="21"/>
        <v>1102</v>
      </c>
    </row>
    <row r="620" spans="1:9" ht="25.5">
      <c r="A620" s="241" t="s">
        <v>1351</v>
      </c>
      <c r="B620" s="242" t="s">
        <v>201</v>
      </c>
      <c r="C620" s="242" t="s">
        <v>381</v>
      </c>
      <c r="D620" s="242" t="s">
        <v>988</v>
      </c>
      <c r="E620" s="242"/>
      <c r="F620" s="243">
        <v>9544635</v>
      </c>
      <c r="G620" s="243">
        <v>9544635</v>
      </c>
      <c r="H620" s="243">
        <f t="shared" si="20"/>
        <v>100</v>
      </c>
      <c r="I620" s="123" t="str">
        <f t="shared" si="21"/>
        <v>11020700000000</v>
      </c>
    </row>
    <row r="621" spans="1:9" ht="25.5">
      <c r="A621" s="241" t="s">
        <v>475</v>
      </c>
      <c r="B621" s="242" t="s">
        <v>201</v>
      </c>
      <c r="C621" s="242" t="s">
        <v>381</v>
      </c>
      <c r="D621" s="242" t="s">
        <v>989</v>
      </c>
      <c r="E621" s="242"/>
      <c r="F621" s="243">
        <v>9544635</v>
      </c>
      <c r="G621" s="243">
        <v>9544635</v>
      </c>
      <c r="H621" s="243">
        <f t="shared" si="20"/>
        <v>100</v>
      </c>
      <c r="I621" s="123" t="str">
        <f t="shared" si="21"/>
        <v>11020710000000</v>
      </c>
    </row>
    <row r="622" spans="1:9" ht="114.75">
      <c r="A622" s="241" t="s">
        <v>2205</v>
      </c>
      <c r="B622" s="242" t="s">
        <v>201</v>
      </c>
      <c r="C622" s="242" t="s">
        <v>381</v>
      </c>
      <c r="D622" s="242" t="s">
        <v>2206</v>
      </c>
      <c r="E622" s="242"/>
      <c r="F622" s="243">
        <v>5504135</v>
      </c>
      <c r="G622" s="243">
        <v>5504135</v>
      </c>
      <c r="H622" s="243">
        <f t="shared" si="20"/>
        <v>100</v>
      </c>
      <c r="I622" s="123" t="str">
        <f t="shared" si="21"/>
        <v>110207100S4370</v>
      </c>
    </row>
    <row r="623" spans="1:9" ht="25.5">
      <c r="A623" s="241" t="s">
        <v>1319</v>
      </c>
      <c r="B623" s="242" t="s">
        <v>201</v>
      </c>
      <c r="C623" s="242" t="s">
        <v>381</v>
      </c>
      <c r="D623" s="242" t="s">
        <v>2206</v>
      </c>
      <c r="E623" s="242" t="s">
        <v>1320</v>
      </c>
      <c r="F623" s="243">
        <v>5504135</v>
      </c>
      <c r="G623" s="243">
        <v>5504135</v>
      </c>
      <c r="H623" s="243">
        <f t="shared" si="20"/>
        <v>100</v>
      </c>
      <c r="I623" s="123" t="str">
        <f t="shared" si="21"/>
        <v>110207100S4370200</v>
      </c>
    </row>
    <row r="624" spans="1:9" ht="25.5">
      <c r="A624" s="241" t="s">
        <v>1196</v>
      </c>
      <c r="B624" s="242" t="s">
        <v>201</v>
      </c>
      <c r="C624" s="242" t="s">
        <v>381</v>
      </c>
      <c r="D624" s="242" t="s">
        <v>2206</v>
      </c>
      <c r="E624" s="242" t="s">
        <v>1197</v>
      </c>
      <c r="F624" s="243">
        <v>5504135</v>
      </c>
      <c r="G624" s="243">
        <v>5504135</v>
      </c>
      <c r="H624" s="243">
        <f t="shared" si="20"/>
        <v>100</v>
      </c>
      <c r="I624" s="123" t="str">
        <f t="shared" si="21"/>
        <v>110207100S4370240</v>
      </c>
    </row>
    <row r="625" spans="1:9" ht="25.5">
      <c r="A625" s="241" t="s">
        <v>343</v>
      </c>
      <c r="B625" s="242" t="s">
        <v>201</v>
      </c>
      <c r="C625" s="242" t="s">
        <v>381</v>
      </c>
      <c r="D625" s="242" t="s">
        <v>2206</v>
      </c>
      <c r="E625" s="242" t="s">
        <v>344</v>
      </c>
      <c r="F625" s="243">
        <v>5504135</v>
      </c>
      <c r="G625" s="243">
        <v>5504135</v>
      </c>
      <c r="H625" s="243">
        <f t="shared" si="20"/>
        <v>100</v>
      </c>
      <c r="I625" s="123" t="str">
        <f t="shared" si="21"/>
        <v>110207100S4370243</v>
      </c>
    </row>
    <row r="626" spans="1:9" ht="63.75">
      <c r="A626" s="241" t="s">
        <v>1988</v>
      </c>
      <c r="B626" s="242" t="s">
        <v>201</v>
      </c>
      <c r="C626" s="242" t="s">
        <v>381</v>
      </c>
      <c r="D626" s="242" t="s">
        <v>1989</v>
      </c>
      <c r="E626" s="242"/>
      <c r="F626" s="243">
        <v>4040500</v>
      </c>
      <c r="G626" s="243">
        <v>4040500</v>
      </c>
      <c r="H626" s="243">
        <f t="shared" si="20"/>
        <v>100</v>
      </c>
      <c r="I626" s="123" t="str">
        <f t="shared" si="21"/>
        <v>110207100S8450</v>
      </c>
    </row>
    <row r="627" spans="1:9" ht="25.5">
      <c r="A627" s="241" t="s">
        <v>1325</v>
      </c>
      <c r="B627" s="242" t="s">
        <v>201</v>
      </c>
      <c r="C627" s="242" t="s">
        <v>381</v>
      </c>
      <c r="D627" s="242" t="s">
        <v>1989</v>
      </c>
      <c r="E627" s="242" t="s">
        <v>1326</v>
      </c>
      <c r="F627" s="243">
        <v>4040500</v>
      </c>
      <c r="G627" s="243">
        <v>4040500</v>
      </c>
      <c r="H627" s="243">
        <f t="shared" si="20"/>
        <v>100</v>
      </c>
      <c r="I627" s="123" t="str">
        <f t="shared" si="21"/>
        <v>110207100S8450400</v>
      </c>
    </row>
    <row r="628" spans="1:9">
      <c r="A628" s="241" t="s">
        <v>1207</v>
      </c>
      <c r="B628" s="242" t="s">
        <v>201</v>
      </c>
      <c r="C628" s="242" t="s">
        <v>381</v>
      </c>
      <c r="D628" s="242" t="s">
        <v>1989</v>
      </c>
      <c r="E628" s="242" t="s">
        <v>75</v>
      </c>
      <c r="F628" s="243">
        <v>4040500</v>
      </c>
      <c r="G628" s="243">
        <v>4040500</v>
      </c>
      <c r="H628" s="243">
        <f t="shared" si="20"/>
        <v>100</v>
      </c>
      <c r="I628" s="123" t="str">
        <f t="shared" si="21"/>
        <v>110207100S8450410</v>
      </c>
    </row>
    <row r="629" spans="1:9" ht="38.25">
      <c r="A629" s="241" t="s">
        <v>1950</v>
      </c>
      <c r="B629" s="242" t="s">
        <v>201</v>
      </c>
      <c r="C629" s="242" t="s">
        <v>381</v>
      </c>
      <c r="D629" s="242" t="s">
        <v>1989</v>
      </c>
      <c r="E629" s="242" t="s">
        <v>1951</v>
      </c>
      <c r="F629" s="243">
        <v>4040500</v>
      </c>
      <c r="G629" s="243">
        <v>4040500</v>
      </c>
      <c r="H629" s="243">
        <f t="shared" si="20"/>
        <v>100</v>
      </c>
      <c r="I629" s="123" t="str">
        <f t="shared" si="21"/>
        <v>110207100S8450414</v>
      </c>
    </row>
    <row r="630" spans="1:9" ht="38.25">
      <c r="A630" s="241" t="s">
        <v>1348</v>
      </c>
      <c r="B630" s="242" t="s">
        <v>230</v>
      </c>
      <c r="C630" s="242"/>
      <c r="D630" s="242"/>
      <c r="E630" s="242"/>
      <c r="F630" s="243">
        <v>369427733.76999998</v>
      </c>
      <c r="G630" s="243">
        <v>363304264.60000002</v>
      </c>
      <c r="H630" s="243">
        <f t="shared" si="20"/>
        <v>98.342444648778766</v>
      </c>
      <c r="I630" s="123" t="str">
        <f t="shared" si="21"/>
        <v/>
      </c>
    </row>
    <row r="631" spans="1:9">
      <c r="A631" s="241" t="s">
        <v>140</v>
      </c>
      <c r="B631" s="242" t="s">
        <v>230</v>
      </c>
      <c r="C631" s="242" t="s">
        <v>1142</v>
      </c>
      <c r="D631" s="242"/>
      <c r="E631" s="242"/>
      <c r="F631" s="243">
        <v>74835432.280000001</v>
      </c>
      <c r="G631" s="243">
        <v>73845299.200000003</v>
      </c>
      <c r="H631" s="243">
        <f t="shared" si="20"/>
        <v>98.676919408582592</v>
      </c>
      <c r="I631" s="123" t="str">
        <f t="shared" si="21"/>
        <v>0700</v>
      </c>
    </row>
    <row r="632" spans="1:9">
      <c r="A632" s="241" t="s">
        <v>1077</v>
      </c>
      <c r="B632" s="242" t="s">
        <v>230</v>
      </c>
      <c r="C632" s="242" t="s">
        <v>1078</v>
      </c>
      <c r="D632" s="242"/>
      <c r="E632" s="242"/>
      <c r="F632" s="243">
        <v>61506420.280000001</v>
      </c>
      <c r="G632" s="243">
        <v>61227117.549999997</v>
      </c>
      <c r="H632" s="243">
        <f t="shared" si="20"/>
        <v>99.545896625541658</v>
      </c>
      <c r="I632" s="123" t="str">
        <f t="shared" si="21"/>
        <v>0703</v>
      </c>
    </row>
    <row r="633" spans="1:9" ht="25.5">
      <c r="A633" s="241" t="s">
        <v>461</v>
      </c>
      <c r="B633" s="242" t="s">
        <v>230</v>
      </c>
      <c r="C633" s="242" t="s">
        <v>1078</v>
      </c>
      <c r="D633" s="242" t="s">
        <v>981</v>
      </c>
      <c r="E633" s="242"/>
      <c r="F633" s="243">
        <v>60906743.909999996</v>
      </c>
      <c r="G633" s="243">
        <v>60627441.18</v>
      </c>
      <c r="H633" s="243">
        <f t="shared" si="20"/>
        <v>99.541425608939605</v>
      </c>
      <c r="I633" s="123" t="str">
        <f t="shared" si="21"/>
        <v>07030500000000</v>
      </c>
    </row>
    <row r="634" spans="1:9" ht="25.5">
      <c r="A634" s="241" t="s">
        <v>595</v>
      </c>
      <c r="B634" s="242" t="s">
        <v>230</v>
      </c>
      <c r="C634" s="242" t="s">
        <v>1078</v>
      </c>
      <c r="D634" s="242" t="s">
        <v>984</v>
      </c>
      <c r="E634" s="242"/>
      <c r="F634" s="243">
        <v>60906743.909999996</v>
      </c>
      <c r="G634" s="243">
        <v>60627441.18</v>
      </c>
      <c r="H634" s="243">
        <f t="shared" si="20"/>
        <v>99.541425608939605</v>
      </c>
      <c r="I634" s="123" t="str">
        <f t="shared" si="21"/>
        <v>07030530000000</v>
      </c>
    </row>
    <row r="635" spans="1:9" ht="89.25">
      <c r="A635" s="241" t="s">
        <v>2223</v>
      </c>
      <c r="B635" s="242" t="s">
        <v>230</v>
      </c>
      <c r="C635" s="242" t="s">
        <v>1078</v>
      </c>
      <c r="D635" s="242" t="s">
        <v>2224</v>
      </c>
      <c r="E635" s="242"/>
      <c r="F635" s="243">
        <v>1106700</v>
      </c>
      <c r="G635" s="243">
        <v>1106700</v>
      </c>
      <c r="H635" s="243">
        <f t="shared" si="20"/>
        <v>100</v>
      </c>
      <c r="I635" s="123" t="str">
        <f t="shared" si="21"/>
        <v>07030530010340</v>
      </c>
    </row>
    <row r="636" spans="1:9" ht="25.5">
      <c r="A636" s="241" t="s">
        <v>1327</v>
      </c>
      <c r="B636" s="242" t="s">
        <v>230</v>
      </c>
      <c r="C636" s="242" t="s">
        <v>1078</v>
      </c>
      <c r="D636" s="242" t="s">
        <v>2224</v>
      </c>
      <c r="E636" s="242" t="s">
        <v>1328</v>
      </c>
      <c r="F636" s="243">
        <v>1106700</v>
      </c>
      <c r="G636" s="243">
        <v>1106700</v>
      </c>
      <c r="H636" s="243">
        <f t="shared" si="20"/>
        <v>100</v>
      </c>
      <c r="I636" s="123" t="str">
        <f t="shared" si="21"/>
        <v>07030530010340600</v>
      </c>
    </row>
    <row r="637" spans="1:9">
      <c r="A637" s="241" t="s">
        <v>1198</v>
      </c>
      <c r="B637" s="242" t="s">
        <v>230</v>
      </c>
      <c r="C637" s="242" t="s">
        <v>1078</v>
      </c>
      <c r="D637" s="242" t="s">
        <v>2224</v>
      </c>
      <c r="E637" s="242" t="s">
        <v>1199</v>
      </c>
      <c r="F637" s="243">
        <v>1106700</v>
      </c>
      <c r="G637" s="243">
        <v>1106700</v>
      </c>
      <c r="H637" s="243">
        <f t="shared" si="20"/>
        <v>100</v>
      </c>
      <c r="I637" s="123" t="str">
        <f t="shared" si="21"/>
        <v>07030530010340610</v>
      </c>
    </row>
    <row r="638" spans="1:9" ht="51">
      <c r="A638" s="241" t="s">
        <v>347</v>
      </c>
      <c r="B638" s="242" t="s">
        <v>230</v>
      </c>
      <c r="C638" s="242" t="s">
        <v>1078</v>
      </c>
      <c r="D638" s="242" t="s">
        <v>2224</v>
      </c>
      <c r="E638" s="242" t="s">
        <v>348</v>
      </c>
      <c r="F638" s="243">
        <v>1106700</v>
      </c>
      <c r="G638" s="243">
        <v>1106700</v>
      </c>
      <c r="H638" s="243">
        <f t="shared" si="20"/>
        <v>100</v>
      </c>
      <c r="I638" s="123" t="str">
        <f t="shared" si="21"/>
        <v>07030530010340611</v>
      </c>
    </row>
    <row r="639" spans="1:9" ht="76.5">
      <c r="A639" s="241" t="s">
        <v>2052</v>
      </c>
      <c r="B639" s="242" t="s">
        <v>230</v>
      </c>
      <c r="C639" s="242" t="s">
        <v>1078</v>
      </c>
      <c r="D639" s="242" t="s">
        <v>2053</v>
      </c>
      <c r="E639" s="242"/>
      <c r="F639" s="243">
        <v>613000</v>
      </c>
      <c r="G639" s="243">
        <v>613000</v>
      </c>
      <c r="H639" s="243">
        <f t="shared" si="20"/>
        <v>100</v>
      </c>
      <c r="I639" s="123" t="str">
        <f t="shared" si="21"/>
        <v>07030530027240</v>
      </c>
    </row>
    <row r="640" spans="1:9" ht="25.5">
      <c r="A640" s="241" t="s">
        <v>1327</v>
      </c>
      <c r="B640" s="242" t="s">
        <v>230</v>
      </c>
      <c r="C640" s="242" t="s">
        <v>1078</v>
      </c>
      <c r="D640" s="242" t="s">
        <v>2053</v>
      </c>
      <c r="E640" s="242" t="s">
        <v>1328</v>
      </c>
      <c r="F640" s="243">
        <v>613000</v>
      </c>
      <c r="G640" s="243">
        <v>613000</v>
      </c>
      <c r="H640" s="243">
        <f t="shared" si="20"/>
        <v>100</v>
      </c>
      <c r="I640" s="123" t="str">
        <f t="shared" si="21"/>
        <v>07030530027240600</v>
      </c>
    </row>
    <row r="641" spans="1:9">
      <c r="A641" s="241" t="s">
        <v>1198</v>
      </c>
      <c r="B641" s="242" t="s">
        <v>230</v>
      </c>
      <c r="C641" s="242" t="s">
        <v>1078</v>
      </c>
      <c r="D641" s="242" t="s">
        <v>2053</v>
      </c>
      <c r="E641" s="242" t="s">
        <v>1199</v>
      </c>
      <c r="F641" s="243">
        <v>613000</v>
      </c>
      <c r="G641" s="243">
        <v>613000</v>
      </c>
      <c r="H641" s="243">
        <f t="shared" si="20"/>
        <v>100</v>
      </c>
      <c r="I641" s="123" t="str">
        <f t="shared" si="21"/>
        <v>07030530027240610</v>
      </c>
    </row>
    <row r="642" spans="1:9" ht="51">
      <c r="A642" s="241" t="s">
        <v>347</v>
      </c>
      <c r="B642" s="242" t="s">
        <v>230</v>
      </c>
      <c r="C642" s="242" t="s">
        <v>1078</v>
      </c>
      <c r="D642" s="242" t="s">
        <v>2053</v>
      </c>
      <c r="E642" s="242" t="s">
        <v>348</v>
      </c>
      <c r="F642" s="243">
        <v>613000</v>
      </c>
      <c r="G642" s="243">
        <v>613000</v>
      </c>
      <c r="H642" s="243">
        <f t="shared" si="20"/>
        <v>100</v>
      </c>
      <c r="I642" s="123" t="str">
        <f t="shared" si="21"/>
        <v>07030530027240611</v>
      </c>
    </row>
    <row r="643" spans="1:9" ht="127.5">
      <c r="A643" s="241" t="s">
        <v>2054</v>
      </c>
      <c r="B643" s="242" t="s">
        <v>230</v>
      </c>
      <c r="C643" s="242" t="s">
        <v>1078</v>
      </c>
      <c r="D643" s="242" t="s">
        <v>2055</v>
      </c>
      <c r="E643" s="242"/>
      <c r="F643" s="243">
        <v>2200000</v>
      </c>
      <c r="G643" s="243">
        <v>2200000</v>
      </c>
      <c r="H643" s="243">
        <f t="shared" si="20"/>
        <v>100</v>
      </c>
      <c r="I643" s="123" t="str">
        <f t="shared" si="21"/>
        <v>07030530027241</v>
      </c>
    </row>
    <row r="644" spans="1:9" ht="25.5">
      <c r="A644" s="241" t="s">
        <v>1327</v>
      </c>
      <c r="B644" s="242" t="s">
        <v>230</v>
      </c>
      <c r="C644" s="242" t="s">
        <v>1078</v>
      </c>
      <c r="D644" s="242" t="s">
        <v>2055</v>
      </c>
      <c r="E644" s="242" t="s">
        <v>1328</v>
      </c>
      <c r="F644" s="243">
        <v>2200000</v>
      </c>
      <c r="G644" s="243">
        <v>2200000</v>
      </c>
      <c r="H644" s="243">
        <f t="shared" si="20"/>
        <v>100</v>
      </c>
      <c r="I644" s="123" t="str">
        <f t="shared" si="21"/>
        <v>07030530027241600</v>
      </c>
    </row>
    <row r="645" spans="1:9">
      <c r="A645" s="241" t="s">
        <v>1198</v>
      </c>
      <c r="B645" s="242" t="s">
        <v>230</v>
      </c>
      <c r="C645" s="242" t="s">
        <v>1078</v>
      </c>
      <c r="D645" s="242" t="s">
        <v>2055</v>
      </c>
      <c r="E645" s="242" t="s">
        <v>1199</v>
      </c>
      <c r="F645" s="243">
        <v>2200000</v>
      </c>
      <c r="G645" s="243">
        <v>2200000</v>
      </c>
      <c r="H645" s="243">
        <f t="shared" si="20"/>
        <v>100</v>
      </c>
      <c r="I645" s="123" t="str">
        <f t="shared" si="21"/>
        <v>07030530027241610</v>
      </c>
    </row>
    <row r="646" spans="1:9" ht="51">
      <c r="A646" s="241" t="s">
        <v>347</v>
      </c>
      <c r="B646" s="242" t="s">
        <v>230</v>
      </c>
      <c r="C646" s="242" t="s">
        <v>1078</v>
      </c>
      <c r="D646" s="242" t="s">
        <v>2055</v>
      </c>
      <c r="E646" s="242" t="s">
        <v>348</v>
      </c>
      <c r="F646" s="243">
        <v>2200000</v>
      </c>
      <c r="G646" s="243">
        <v>2200000</v>
      </c>
      <c r="H646" s="243">
        <f t="shared" ref="H646:H709" si="22">G646/F646*100</f>
        <v>100</v>
      </c>
      <c r="I646" s="123" t="str">
        <f t="shared" si="21"/>
        <v>07030530027241611</v>
      </c>
    </row>
    <row r="647" spans="1:9" ht="89.25">
      <c r="A647" s="241" t="s">
        <v>2056</v>
      </c>
      <c r="B647" s="242" t="s">
        <v>230</v>
      </c>
      <c r="C647" s="242" t="s">
        <v>1078</v>
      </c>
      <c r="D647" s="242" t="s">
        <v>2057</v>
      </c>
      <c r="E647" s="242"/>
      <c r="F647" s="243">
        <v>2014417</v>
      </c>
      <c r="G647" s="243">
        <v>2014417</v>
      </c>
      <c r="H647" s="243">
        <f t="shared" si="22"/>
        <v>100</v>
      </c>
      <c r="I647" s="123" t="str">
        <f t="shared" si="21"/>
        <v>07030530027242</v>
      </c>
    </row>
    <row r="648" spans="1:9" ht="25.5">
      <c r="A648" s="241" t="s">
        <v>1327</v>
      </c>
      <c r="B648" s="242" t="s">
        <v>230</v>
      </c>
      <c r="C648" s="242" t="s">
        <v>1078</v>
      </c>
      <c r="D648" s="242" t="s">
        <v>2057</v>
      </c>
      <c r="E648" s="242" t="s">
        <v>1328</v>
      </c>
      <c r="F648" s="243">
        <v>2014417</v>
      </c>
      <c r="G648" s="243">
        <v>2014417</v>
      </c>
      <c r="H648" s="243">
        <f t="shared" si="22"/>
        <v>100</v>
      </c>
      <c r="I648" s="123" t="str">
        <f t="shared" si="21"/>
        <v>07030530027242600</v>
      </c>
    </row>
    <row r="649" spans="1:9">
      <c r="A649" s="241" t="s">
        <v>1198</v>
      </c>
      <c r="B649" s="242" t="s">
        <v>230</v>
      </c>
      <c r="C649" s="242" t="s">
        <v>1078</v>
      </c>
      <c r="D649" s="242" t="s">
        <v>2057</v>
      </c>
      <c r="E649" s="242" t="s">
        <v>1199</v>
      </c>
      <c r="F649" s="243">
        <v>2014417</v>
      </c>
      <c r="G649" s="243">
        <v>2014417</v>
      </c>
      <c r="H649" s="243">
        <f t="shared" si="22"/>
        <v>100</v>
      </c>
      <c r="I649" s="123" t="str">
        <f t="shared" si="21"/>
        <v>07030530027242610</v>
      </c>
    </row>
    <row r="650" spans="1:9" ht="51">
      <c r="A650" s="241" t="s">
        <v>347</v>
      </c>
      <c r="B650" s="242" t="s">
        <v>230</v>
      </c>
      <c r="C650" s="242" t="s">
        <v>1078</v>
      </c>
      <c r="D650" s="242" t="s">
        <v>2057</v>
      </c>
      <c r="E650" s="242" t="s">
        <v>348</v>
      </c>
      <c r="F650" s="243">
        <v>2014417</v>
      </c>
      <c r="G650" s="243">
        <v>2014417</v>
      </c>
      <c r="H650" s="243">
        <f t="shared" si="22"/>
        <v>100</v>
      </c>
      <c r="I650" s="123" t="str">
        <f t="shared" si="21"/>
        <v>07030530027242611</v>
      </c>
    </row>
    <row r="651" spans="1:9" ht="102">
      <c r="A651" s="241" t="s">
        <v>509</v>
      </c>
      <c r="B651" s="242" t="s">
        <v>230</v>
      </c>
      <c r="C651" s="242" t="s">
        <v>1078</v>
      </c>
      <c r="D651" s="242" t="s">
        <v>703</v>
      </c>
      <c r="E651" s="242"/>
      <c r="F651" s="243">
        <v>37981491.469999999</v>
      </c>
      <c r="G651" s="243">
        <v>37981491.469999999</v>
      </c>
      <c r="H651" s="243">
        <f t="shared" si="22"/>
        <v>100</v>
      </c>
      <c r="I651" s="123" t="str">
        <f t="shared" si="21"/>
        <v>07030530040000</v>
      </c>
    </row>
    <row r="652" spans="1:9" ht="25.5">
      <c r="A652" s="241" t="s">
        <v>1327</v>
      </c>
      <c r="B652" s="242" t="s">
        <v>230</v>
      </c>
      <c r="C652" s="242" t="s">
        <v>1078</v>
      </c>
      <c r="D652" s="242" t="s">
        <v>703</v>
      </c>
      <c r="E652" s="242" t="s">
        <v>1328</v>
      </c>
      <c r="F652" s="243">
        <v>37981491.469999999</v>
      </c>
      <c r="G652" s="243">
        <v>37981491.469999999</v>
      </c>
      <c r="H652" s="243">
        <f t="shared" si="22"/>
        <v>100</v>
      </c>
      <c r="I652" s="123" t="str">
        <f t="shared" si="21"/>
        <v>07030530040000600</v>
      </c>
    </row>
    <row r="653" spans="1:9">
      <c r="A653" s="241" t="s">
        <v>1198</v>
      </c>
      <c r="B653" s="242" t="s">
        <v>230</v>
      </c>
      <c r="C653" s="242" t="s">
        <v>1078</v>
      </c>
      <c r="D653" s="242" t="s">
        <v>703</v>
      </c>
      <c r="E653" s="242" t="s">
        <v>1199</v>
      </c>
      <c r="F653" s="243">
        <v>37981491.469999999</v>
      </c>
      <c r="G653" s="243">
        <v>37981491.469999999</v>
      </c>
      <c r="H653" s="243">
        <f t="shared" si="22"/>
        <v>100</v>
      </c>
      <c r="I653" s="123" t="str">
        <f t="shared" si="21"/>
        <v>07030530040000610</v>
      </c>
    </row>
    <row r="654" spans="1:9" ht="51">
      <c r="A654" s="241" t="s">
        <v>347</v>
      </c>
      <c r="B654" s="242" t="s">
        <v>230</v>
      </c>
      <c r="C654" s="242" t="s">
        <v>1078</v>
      </c>
      <c r="D654" s="242" t="s">
        <v>703</v>
      </c>
      <c r="E654" s="242" t="s">
        <v>348</v>
      </c>
      <c r="F654" s="243">
        <v>37981491.469999999</v>
      </c>
      <c r="G654" s="243">
        <v>37981491.469999999</v>
      </c>
      <c r="H654" s="243">
        <f t="shared" si="22"/>
        <v>100</v>
      </c>
      <c r="I654" s="123" t="str">
        <f t="shared" si="21"/>
        <v>07030530040000611</v>
      </c>
    </row>
    <row r="655" spans="1:9" ht="127.5">
      <c r="A655" s="241" t="s">
        <v>510</v>
      </c>
      <c r="B655" s="242" t="s">
        <v>230</v>
      </c>
      <c r="C655" s="242" t="s">
        <v>1078</v>
      </c>
      <c r="D655" s="242" t="s">
        <v>704</v>
      </c>
      <c r="E655" s="242"/>
      <c r="F655" s="243">
        <v>11801060</v>
      </c>
      <c r="G655" s="243">
        <v>11801060</v>
      </c>
      <c r="H655" s="243">
        <f t="shared" si="22"/>
        <v>100</v>
      </c>
      <c r="I655" s="123" t="str">
        <f t="shared" si="21"/>
        <v>07030530041000</v>
      </c>
    </row>
    <row r="656" spans="1:9" ht="25.5">
      <c r="A656" s="241" t="s">
        <v>1327</v>
      </c>
      <c r="B656" s="242" t="s">
        <v>230</v>
      </c>
      <c r="C656" s="242" t="s">
        <v>1078</v>
      </c>
      <c r="D656" s="242" t="s">
        <v>704</v>
      </c>
      <c r="E656" s="242" t="s">
        <v>1328</v>
      </c>
      <c r="F656" s="243">
        <v>11801060</v>
      </c>
      <c r="G656" s="243">
        <v>11801060</v>
      </c>
      <c r="H656" s="243">
        <f t="shared" si="22"/>
        <v>100</v>
      </c>
      <c r="I656" s="123" t="str">
        <f t="shared" si="21"/>
        <v>07030530041000600</v>
      </c>
    </row>
    <row r="657" spans="1:9">
      <c r="A657" s="241" t="s">
        <v>1198</v>
      </c>
      <c r="B657" s="242" t="s">
        <v>230</v>
      </c>
      <c r="C657" s="242" t="s">
        <v>1078</v>
      </c>
      <c r="D657" s="242" t="s">
        <v>704</v>
      </c>
      <c r="E657" s="242" t="s">
        <v>1199</v>
      </c>
      <c r="F657" s="243">
        <v>11801060</v>
      </c>
      <c r="G657" s="243">
        <v>11801060</v>
      </c>
      <c r="H657" s="243">
        <f t="shared" si="22"/>
        <v>100</v>
      </c>
      <c r="I657" s="123" t="str">
        <f t="shared" si="21"/>
        <v>07030530041000610</v>
      </c>
    </row>
    <row r="658" spans="1:9" ht="51">
      <c r="A658" s="241" t="s">
        <v>347</v>
      </c>
      <c r="B658" s="242" t="s">
        <v>230</v>
      </c>
      <c r="C658" s="242" t="s">
        <v>1078</v>
      </c>
      <c r="D658" s="242" t="s">
        <v>704</v>
      </c>
      <c r="E658" s="242" t="s">
        <v>348</v>
      </c>
      <c r="F658" s="243">
        <v>11801060</v>
      </c>
      <c r="G658" s="243">
        <v>11801060</v>
      </c>
      <c r="H658" s="243">
        <f t="shared" si="22"/>
        <v>100</v>
      </c>
      <c r="I658" s="123" t="str">
        <f t="shared" si="21"/>
        <v>07030530041000611</v>
      </c>
    </row>
    <row r="659" spans="1:9" ht="102">
      <c r="A659" s="241" t="s">
        <v>566</v>
      </c>
      <c r="B659" s="242" t="s">
        <v>230</v>
      </c>
      <c r="C659" s="242" t="s">
        <v>1078</v>
      </c>
      <c r="D659" s="242" t="s">
        <v>705</v>
      </c>
      <c r="E659" s="242"/>
      <c r="F659" s="243">
        <v>367390</v>
      </c>
      <c r="G659" s="243">
        <v>367390</v>
      </c>
      <c r="H659" s="243">
        <f t="shared" si="22"/>
        <v>100</v>
      </c>
      <c r="I659" s="123" t="str">
        <f t="shared" si="21"/>
        <v>07030530045000</v>
      </c>
    </row>
    <row r="660" spans="1:9" ht="25.5">
      <c r="A660" s="241" t="s">
        <v>1327</v>
      </c>
      <c r="B660" s="242" t="s">
        <v>230</v>
      </c>
      <c r="C660" s="242" t="s">
        <v>1078</v>
      </c>
      <c r="D660" s="242" t="s">
        <v>705</v>
      </c>
      <c r="E660" s="242" t="s">
        <v>1328</v>
      </c>
      <c r="F660" s="243">
        <v>367390</v>
      </c>
      <c r="G660" s="243">
        <v>367390</v>
      </c>
      <c r="H660" s="243">
        <f t="shared" si="22"/>
        <v>100</v>
      </c>
      <c r="I660" s="123" t="str">
        <f t="shared" si="21"/>
        <v>07030530045000600</v>
      </c>
    </row>
    <row r="661" spans="1:9">
      <c r="A661" s="241" t="s">
        <v>1198</v>
      </c>
      <c r="B661" s="242" t="s">
        <v>230</v>
      </c>
      <c r="C661" s="242" t="s">
        <v>1078</v>
      </c>
      <c r="D661" s="242" t="s">
        <v>705</v>
      </c>
      <c r="E661" s="242" t="s">
        <v>1199</v>
      </c>
      <c r="F661" s="243">
        <v>367390</v>
      </c>
      <c r="G661" s="243">
        <v>367390</v>
      </c>
      <c r="H661" s="243">
        <f t="shared" si="22"/>
        <v>100</v>
      </c>
      <c r="I661" s="123" t="str">
        <f t="shared" si="21"/>
        <v>07030530045000610</v>
      </c>
    </row>
    <row r="662" spans="1:9" ht="51">
      <c r="A662" s="241" t="s">
        <v>347</v>
      </c>
      <c r="B662" s="242" t="s">
        <v>230</v>
      </c>
      <c r="C662" s="242" t="s">
        <v>1078</v>
      </c>
      <c r="D662" s="242" t="s">
        <v>705</v>
      </c>
      <c r="E662" s="242" t="s">
        <v>348</v>
      </c>
      <c r="F662" s="243">
        <v>367390</v>
      </c>
      <c r="G662" s="243">
        <v>367390</v>
      </c>
      <c r="H662" s="243">
        <f t="shared" si="22"/>
        <v>100</v>
      </c>
      <c r="I662" s="123" t="str">
        <f t="shared" si="21"/>
        <v>07030530045000611</v>
      </c>
    </row>
    <row r="663" spans="1:9" ht="89.25">
      <c r="A663" s="241" t="s">
        <v>511</v>
      </c>
      <c r="B663" s="242" t="s">
        <v>230</v>
      </c>
      <c r="C663" s="242" t="s">
        <v>1078</v>
      </c>
      <c r="D663" s="242" t="s">
        <v>706</v>
      </c>
      <c r="E663" s="242"/>
      <c r="F663" s="243">
        <v>472460.44</v>
      </c>
      <c r="G663" s="243">
        <v>472108.44</v>
      </c>
      <c r="H663" s="243">
        <f t="shared" si="22"/>
        <v>99.925496407699228</v>
      </c>
      <c r="I663" s="123" t="str">
        <f t="shared" si="21"/>
        <v>07030530047000</v>
      </c>
    </row>
    <row r="664" spans="1:9" ht="25.5">
      <c r="A664" s="241" t="s">
        <v>1327</v>
      </c>
      <c r="B664" s="242" t="s">
        <v>230</v>
      </c>
      <c r="C664" s="242" t="s">
        <v>1078</v>
      </c>
      <c r="D664" s="242" t="s">
        <v>706</v>
      </c>
      <c r="E664" s="242" t="s">
        <v>1328</v>
      </c>
      <c r="F664" s="243">
        <v>472460.44</v>
      </c>
      <c r="G664" s="243">
        <v>472108.44</v>
      </c>
      <c r="H664" s="243">
        <f t="shared" si="22"/>
        <v>99.925496407699228</v>
      </c>
      <c r="I664" s="123" t="str">
        <f t="shared" si="21"/>
        <v>07030530047000600</v>
      </c>
    </row>
    <row r="665" spans="1:9">
      <c r="A665" s="241" t="s">
        <v>1198</v>
      </c>
      <c r="B665" s="242" t="s">
        <v>230</v>
      </c>
      <c r="C665" s="242" t="s">
        <v>1078</v>
      </c>
      <c r="D665" s="242" t="s">
        <v>706</v>
      </c>
      <c r="E665" s="242" t="s">
        <v>1199</v>
      </c>
      <c r="F665" s="243">
        <v>472460.44</v>
      </c>
      <c r="G665" s="243">
        <v>472108.44</v>
      </c>
      <c r="H665" s="243">
        <f t="shared" si="22"/>
        <v>99.925496407699228</v>
      </c>
      <c r="I665" s="123" t="str">
        <f t="shared" si="21"/>
        <v>07030530047000610</v>
      </c>
    </row>
    <row r="666" spans="1:9">
      <c r="A666" s="241" t="s">
        <v>366</v>
      </c>
      <c r="B666" s="242" t="s">
        <v>230</v>
      </c>
      <c r="C666" s="242" t="s">
        <v>1078</v>
      </c>
      <c r="D666" s="242" t="s">
        <v>706</v>
      </c>
      <c r="E666" s="242" t="s">
        <v>367</v>
      </c>
      <c r="F666" s="243">
        <v>472460.44</v>
      </c>
      <c r="G666" s="243">
        <v>472108.44</v>
      </c>
      <c r="H666" s="243">
        <f t="shared" si="22"/>
        <v>99.925496407699228</v>
      </c>
      <c r="I666" s="123" t="str">
        <f t="shared" si="21"/>
        <v>07030530047000612</v>
      </c>
    </row>
    <row r="667" spans="1:9" ht="102">
      <c r="A667" s="241" t="s">
        <v>567</v>
      </c>
      <c r="B667" s="242" t="s">
        <v>230</v>
      </c>
      <c r="C667" s="242" t="s">
        <v>1078</v>
      </c>
      <c r="D667" s="242" t="s">
        <v>707</v>
      </c>
      <c r="E667" s="242"/>
      <c r="F667" s="243">
        <v>3675000</v>
      </c>
      <c r="G667" s="243">
        <v>3509621.27</v>
      </c>
      <c r="H667" s="243">
        <f t="shared" si="22"/>
        <v>95.499898503401354</v>
      </c>
      <c r="I667" s="123" t="str">
        <f t="shared" si="21"/>
        <v>0703053004Г000</v>
      </c>
    </row>
    <row r="668" spans="1:9" ht="25.5">
      <c r="A668" s="241" t="s">
        <v>1327</v>
      </c>
      <c r="B668" s="242" t="s">
        <v>230</v>
      </c>
      <c r="C668" s="242" t="s">
        <v>1078</v>
      </c>
      <c r="D668" s="242" t="s">
        <v>707</v>
      </c>
      <c r="E668" s="242" t="s">
        <v>1328</v>
      </c>
      <c r="F668" s="243">
        <v>3675000</v>
      </c>
      <c r="G668" s="243">
        <v>3509621.27</v>
      </c>
      <c r="H668" s="243">
        <f t="shared" si="22"/>
        <v>95.499898503401354</v>
      </c>
      <c r="I668" s="123" t="str">
        <f t="shared" si="21"/>
        <v>0703053004Г000600</v>
      </c>
    </row>
    <row r="669" spans="1:9">
      <c r="A669" s="241" t="s">
        <v>1198</v>
      </c>
      <c r="B669" s="242" t="s">
        <v>230</v>
      </c>
      <c r="C669" s="242" t="s">
        <v>1078</v>
      </c>
      <c r="D669" s="242" t="s">
        <v>707</v>
      </c>
      <c r="E669" s="242" t="s">
        <v>1199</v>
      </c>
      <c r="F669" s="243">
        <v>3675000</v>
      </c>
      <c r="G669" s="243">
        <v>3509621.27</v>
      </c>
      <c r="H669" s="243">
        <f t="shared" si="22"/>
        <v>95.499898503401354</v>
      </c>
      <c r="I669" s="123" t="str">
        <f t="shared" si="21"/>
        <v>0703053004Г000610</v>
      </c>
    </row>
    <row r="670" spans="1:9" ht="51">
      <c r="A670" s="241" t="s">
        <v>347</v>
      </c>
      <c r="B670" s="242" t="s">
        <v>230</v>
      </c>
      <c r="C670" s="242" t="s">
        <v>1078</v>
      </c>
      <c r="D670" s="242" t="s">
        <v>707</v>
      </c>
      <c r="E670" s="242" t="s">
        <v>348</v>
      </c>
      <c r="F670" s="243">
        <v>3675000</v>
      </c>
      <c r="G670" s="243">
        <v>3509621.27</v>
      </c>
      <c r="H670" s="243">
        <f t="shared" si="22"/>
        <v>95.499898503401354</v>
      </c>
      <c r="I670" s="123" t="str">
        <f t="shared" si="21"/>
        <v>0703053004Г000611</v>
      </c>
    </row>
    <row r="671" spans="1:9" ht="63.75">
      <c r="A671" s="241" t="s">
        <v>1627</v>
      </c>
      <c r="B671" s="242" t="s">
        <v>230</v>
      </c>
      <c r="C671" s="242" t="s">
        <v>1078</v>
      </c>
      <c r="D671" s="242" t="s">
        <v>1628</v>
      </c>
      <c r="E671" s="242"/>
      <c r="F671" s="243">
        <v>59000</v>
      </c>
      <c r="G671" s="243">
        <v>59000</v>
      </c>
      <c r="H671" s="243">
        <f t="shared" si="22"/>
        <v>100</v>
      </c>
      <c r="I671" s="123" t="str">
        <f t="shared" si="21"/>
        <v>0703053004М000</v>
      </c>
    </row>
    <row r="672" spans="1:9" ht="25.5">
      <c r="A672" s="241" t="s">
        <v>1327</v>
      </c>
      <c r="B672" s="242" t="s">
        <v>230</v>
      </c>
      <c r="C672" s="242" t="s">
        <v>1078</v>
      </c>
      <c r="D672" s="242" t="s">
        <v>1628</v>
      </c>
      <c r="E672" s="242" t="s">
        <v>1328</v>
      </c>
      <c r="F672" s="243">
        <v>59000</v>
      </c>
      <c r="G672" s="243">
        <v>59000</v>
      </c>
      <c r="H672" s="243">
        <f t="shared" si="22"/>
        <v>100</v>
      </c>
      <c r="I672" s="123" t="str">
        <f t="shared" si="21"/>
        <v>0703053004М000600</v>
      </c>
    </row>
    <row r="673" spans="1:9">
      <c r="A673" s="241" t="s">
        <v>1198</v>
      </c>
      <c r="B673" s="242" t="s">
        <v>230</v>
      </c>
      <c r="C673" s="242" t="s">
        <v>1078</v>
      </c>
      <c r="D673" s="242" t="s">
        <v>1628</v>
      </c>
      <c r="E673" s="242" t="s">
        <v>1199</v>
      </c>
      <c r="F673" s="243">
        <v>59000</v>
      </c>
      <c r="G673" s="243">
        <v>59000</v>
      </c>
      <c r="H673" s="243">
        <f t="shared" si="22"/>
        <v>100</v>
      </c>
      <c r="I673" s="123" t="str">
        <f t="shared" si="21"/>
        <v>0703053004М000610</v>
      </c>
    </row>
    <row r="674" spans="1:9" ht="51">
      <c r="A674" s="241" t="s">
        <v>347</v>
      </c>
      <c r="B674" s="242" t="s">
        <v>230</v>
      </c>
      <c r="C674" s="242" t="s">
        <v>1078</v>
      </c>
      <c r="D674" s="242" t="s">
        <v>1628</v>
      </c>
      <c r="E674" s="242" t="s">
        <v>348</v>
      </c>
      <c r="F674" s="243">
        <v>59000</v>
      </c>
      <c r="G674" s="243">
        <v>59000</v>
      </c>
      <c r="H674" s="243">
        <f t="shared" si="22"/>
        <v>100</v>
      </c>
      <c r="I674" s="123" t="str">
        <f t="shared" si="21"/>
        <v>0703053004М000611</v>
      </c>
    </row>
    <row r="675" spans="1:9" ht="89.25">
      <c r="A675" s="241" t="s">
        <v>956</v>
      </c>
      <c r="B675" s="242" t="s">
        <v>230</v>
      </c>
      <c r="C675" s="242" t="s">
        <v>1078</v>
      </c>
      <c r="D675" s="242" t="s">
        <v>957</v>
      </c>
      <c r="E675" s="242"/>
      <c r="F675" s="243">
        <v>381000</v>
      </c>
      <c r="G675" s="243">
        <v>267737</v>
      </c>
      <c r="H675" s="243">
        <f t="shared" si="22"/>
        <v>70.272178477690289</v>
      </c>
      <c r="I675" s="123" t="str">
        <f t="shared" si="21"/>
        <v>0703053004Э000</v>
      </c>
    </row>
    <row r="676" spans="1:9" ht="25.5">
      <c r="A676" s="241" t="s">
        <v>1327</v>
      </c>
      <c r="B676" s="242" t="s">
        <v>230</v>
      </c>
      <c r="C676" s="242" t="s">
        <v>1078</v>
      </c>
      <c r="D676" s="242" t="s">
        <v>957</v>
      </c>
      <c r="E676" s="242" t="s">
        <v>1328</v>
      </c>
      <c r="F676" s="243">
        <v>381000</v>
      </c>
      <c r="G676" s="243">
        <v>267737</v>
      </c>
      <c r="H676" s="243">
        <f t="shared" si="22"/>
        <v>70.272178477690289</v>
      </c>
      <c r="I676" s="123" t="str">
        <f t="shared" si="21"/>
        <v>0703053004Э000600</v>
      </c>
    </row>
    <row r="677" spans="1:9">
      <c r="A677" s="241" t="s">
        <v>1198</v>
      </c>
      <c r="B677" s="242" t="s">
        <v>230</v>
      </c>
      <c r="C677" s="242" t="s">
        <v>1078</v>
      </c>
      <c r="D677" s="242" t="s">
        <v>957</v>
      </c>
      <c r="E677" s="242" t="s">
        <v>1199</v>
      </c>
      <c r="F677" s="243">
        <v>381000</v>
      </c>
      <c r="G677" s="243">
        <v>267737</v>
      </c>
      <c r="H677" s="243">
        <f t="shared" si="22"/>
        <v>70.272178477690289</v>
      </c>
      <c r="I677" s="123" t="str">
        <f t="shared" si="21"/>
        <v>0703053004Э000610</v>
      </c>
    </row>
    <row r="678" spans="1:9" ht="51">
      <c r="A678" s="241" t="s">
        <v>347</v>
      </c>
      <c r="B678" s="242" t="s">
        <v>230</v>
      </c>
      <c r="C678" s="242" t="s">
        <v>1078</v>
      </c>
      <c r="D678" s="242" t="s">
        <v>957</v>
      </c>
      <c r="E678" s="242" t="s">
        <v>348</v>
      </c>
      <c r="F678" s="243">
        <v>381000</v>
      </c>
      <c r="G678" s="243">
        <v>267737</v>
      </c>
      <c r="H678" s="243">
        <f t="shared" si="22"/>
        <v>70.272178477690289</v>
      </c>
      <c r="I678" s="123" t="str">
        <f t="shared" si="21"/>
        <v>0703053004Э000611</v>
      </c>
    </row>
    <row r="679" spans="1:9" ht="63.75">
      <c r="A679" s="241" t="s">
        <v>512</v>
      </c>
      <c r="B679" s="242" t="s">
        <v>230</v>
      </c>
      <c r="C679" s="242" t="s">
        <v>1078</v>
      </c>
      <c r="D679" s="242" t="s">
        <v>731</v>
      </c>
      <c r="E679" s="242"/>
      <c r="F679" s="243">
        <v>85225</v>
      </c>
      <c r="G679" s="243">
        <v>84916</v>
      </c>
      <c r="H679" s="243">
        <f t="shared" si="22"/>
        <v>99.637430331475514</v>
      </c>
      <c r="I679" s="123" t="str">
        <f t="shared" ref="I679:I742" si="23">CONCATENATE(C679,D679,E679)</f>
        <v>070305300Ф0000</v>
      </c>
    </row>
    <row r="680" spans="1:9" ht="25.5">
      <c r="A680" s="241" t="s">
        <v>1327</v>
      </c>
      <c r="B680" s="242" t="s">
        <v>230</v>
      </c>
      <c r="C680" s="242" t="s">
        <v>1078</v>
      </c>
      <c r="D680" s="242" t="s">
        <v>731</v>
      </c>
      <c r="E680" s="242" t="s">
        <v>1328</v>
      </c>
      <c r="F680" s="243">
        <v>85225</v>
      </c>
      <c r="G680" s="243">
        <v>84916</v>
      </c>
      <c r="H680" s="243">
        <f t="shared" si="22"/>
        <v>99.637430331475514</v>
      </c>
      <c r="I680" s="123" t="str">
        <f t="shared" si="23"/>
        <v>070305300Ф0000600</v>
      </c>
    </row>
    <row r="681" spans="1:9">
      <c r="A681" s="241" t="s">
        <v>1198</v>
      </c>
      <c r="B681" s="242" t="s">
        <v>230</v>
      </c>
      <c r="C681" s="242" t="s">
        <v>1078</v>
      </c>
      <c r="D681" s="242" t="s">
        <v>731</v>
      </c>
      <c r="E681" s="242" t="s">
        <v>1199</v>
      </c>
      <c r="F681" s="243">
        <v>85225</v>
      </c>
      <c r="G681" s="243">
        <v>84916</v>
      </c>
      <c r="H681" s="243">
        <f t="shared" si="22"/>
        <v>99.637430331475514</v>
      </c>
      <c r="I681" s="123" t="str">
        <f t="shared" si="23"/>
        <v>070305300Ф0000610</v>
      </c>
    </row>
    <row r="682" spans="1:9">
      <c r="A682" s="241" t="s">
        <v>366</v>
      </c>
      <c r="B682" s="242" t="s">
        <v>230</v>
      </c>
      <c r="C682" s="242" t="s">
        <v>1078</v>
      </c>
      <c r="D682" s="242" t="s">
        <v>731</v>
      </c>
      <c r="E682" s="242" t="s">
        <v>367</v>
      </c>
      <c r="F682" s="243">
        <v>85225</v>
      </c>
      <c r="G682" s="243">
        <v>84916</v>
      </c>
      <c r="H682" s="243">
        <f t="shared" si="22"/>
        <v>99.637430331475514</v>
      </c>
      <c r="I682" s="123" t="str">
        <f t="shared" si="23"/>
        <v>070305300Ф0000612</v>
      </c>
    </row>
    <row r="683" spans="1:9" ht="89.25">
      <c r="A683" s="241" t="s">
        <v>525</v>
      </c>
      <c r="B683" s="242" t="s">
        <v>230</v>
      </c>
      <c r="C683" s="242" t="s">
        <v>1078</v>
      </c>
      <c r="D683" s="242" t="s">
        <v>732</v>
      </c>
      <c r="E683" s="242"/>
      <c r="F683" s="243">
        <v>150000</v>
      </c>
      <c r="G683" s="243">
        <v>150000</v>
      </c>
      <c r="H683" s="243">
        <f t="shared" si="22"/>
        <v>100</v>
      </c>
      <c r="I683" s="123" t="str">
        <f t="shared" si="23"/>
        <v>070305300Ц0000</v>
      </c>
    </row>
    <row r="684" spans="1:9" ht="25.5">
      <c r="A684" s="241" t="s">
        <v>1327</v>
      </c>
      <c r="B684" s="242" t="s">
        <v>230</v>
      </c>
      <c r="C684" s="242" t="s">
        <v>1078</v>
      </c>
      <c r="D684" s="242" t="s">
        <v>732</v>
      </c>
      <c r="E684" s="242" t="s">
        <v>1328</v>
      </c>
      <c r="F684" s="243">
        <v>150000</v>
      </c>
      <c r="G684" s="243">
        <v>150000</v>
      </c>
      <c r="H684" s="243">
        <f t="shared" si="22"/>
        <v>100</v>
      </c>
      <c r="I684" s="123" t="str">
        <f t="shared" si="23"/>
        <v>070305300Ц0000600</v>
      </c>
    </row>
    <row r="685" spans="1:9">
      <c r="A685" s="241" t="s">
        <v>1198</v>
      </c>
      <c r="B685" s="242" t="s">
        <v>230</v>
      </c>
      <c r="C685" s="242" t="s">
        <v>1078</v>
      </c>
      <c r="D685" s="242" t="s">
        <v>732</v>
      </c>
      <c r="E685" s="242" t="s">
        <v>1199</v>
      </c>
      <c r="F685" s="243">
        <v>150000</v>
      </c>
      <c r="G685" s="243">
        <v>150000</v>
      </c>
      <c r="H685" s="243">
        <f t="shared" si="22"/>
        <v>100</v>
      </c>
      <c r="I685" s="123" t="str">
        <f t="shared" si="23"/>
        <v>070305300Ц0000610</v>
      </c>
    </row>
    <row r="686" spans="1:9">
      <c r="A686" s="241" t="s">
        <v>366</v>
      </c>
      <c r="B686" s="242" t="s">
        <v>230</v>
      </c>
      <c r="C686" s="242" t="s">
        <v>1078</v>
      </c>
      <c r="D686" s="242" t="s">
        <v>732</v>
      </c>
      <c r="E686" s="242" t="s">
        <v>367</v>
      </c>
      <c r="F686" s="243">
        <v>150000</v>
      </c>
      <c r="G686" s="243">
        <v>150000</v>
      </c>
      <c r="H686" s="243">
        <f t="shared" si="22"/>
        <v>100</v>
      </c>
      <c r="I686" s="123" t="str">
        <f t="shared" si="23"/>
        <v>070305300Ц0000612</v>
      </c>
    </row>
    <row r="687" spans="1:9" ht="25.5">
      <c r="A687" s="241" t="s">
        <v>601</v>
      </c>
      <c r="B687" s="242" t="s">
        <v>230</v>
      </c>
      <c r="C687" s="242" t="s">
        <v>1078</v>
      </c>
      <c r="D687" s="242" t="s">
        <v>1011</v>
      </c>
      <c r="E687" s="242"/>
      <c r="F687" s="243">
        <v>599676.37</v>
      </c>
      <c r="G687" s="243">
        <v>599676.37</v>
      </c>
      <c r="H687" s="243">
        <f t="shared" si="22"/>
        <v>100</v>
      </c>
      <c r="I687" s="123" t="str">
        <f t="shared" si="23"/>
        <v>07039000000000</v>
      </c>
    </row>
    <row r="688" spans="1:9" ht="38.25">
      <c r="A688" s="241" t="s">
        <v>427</v>
      </c>
      <c r="B688" s="242" t="s">
        <v>230</v>
      </c>
      <c r="C688" s="242" t="s">
        <v>1078</v>
      </c>
      <c r="D688" s="242" t="s">
        <v>1012</v>
      </c>
      <c r="E688" s="242"/>
      <c r="F688" s="243">
        <v>599676.37</v>
      </c>
      <c r="G688" s="243">
        <v>599676.37</v>
      </c>
      <c r="H688" s="243">
        <f t="shared" si="22"/>
        <v>100</v>
      </c>
      <c r="I688" s="123" t="str">
        <f t="shared" si="23"/>
        <v>07039010000000</v>
      </c>
    </row>
    <row r="689" spans="1:9" ht="38.25">
      <c r="A689" s="241" t="s">
        <v>427</v>
      </c>
      <c r="B689" s="242" t="s">
        <v>230</v>
      </c>
      <c r="C689" s="242" t="s">
        <v>1078</v>
      </c>
      <c r="D689" s="242" t="s">
        <v>793</v>
      </c>
      <c r="E689" s="242"/>
      <c r="F689" s="243">
        <v>599676.37</v>
      </c>
      <c r="G689" s="243">
        <v>599676.37</v>
      </c>
      <c r="H689" s="243">
        <f t="shared" si="22"/>
        <v>100</v>
      </c>
      <c r="I689" s="123" t="str">
        <f t="shared" si="23"/>
        <v>07039010080000</v>
      </c>
    </row>
    <row r="690" spans="1:9" ht="25.5">
      <c r="A690" s="241" t="s">
        <v>1327</v>
      </c>
      <c r="B690" s="242" t="s">
        <v>230</v>
      </c>
      <c r="C690" s="242" t="s">
        <v>1078</v>
      </c>
      <c r="D690" s="242" t="s">
        <v>793</v>
      </c>
      <c r="E690" s="242" t="s">
        <v>1328</v>
      </c>
      <c r="F690" s="243">
        <v>599676.37</v>
      </c>
      <c r="G690" s="243">
        <v>599676.37</v>
      </c>
      <c r="H690" s="243">
        <f t="shared" si="22"/>
        <v>100</v>
      </c>
      <c r="I690" s="123" t="str">
        <f t="shared" si="23"/>
        <v>07039010080000600</v>
      </c>
    </row>
    <row r="691" spans="1:9">
      <c r="A691" s="241" t="s">
        <v>1198</v>
      </c>
      <c r="B691" s="242" t="s">
        <v>230</v>
      </c>
      <c r="C691" s="242" t="s">
        <v>1078</v>
      </c>
      <c r="D691" s="242" t="s">
        <v>793</v>
      </c>
      <c r="E691" s="242" t="s">
        <v>1199</v>
      </c>
      <c r="F691" s="243">
        <v>599676.37</v>
      </c>
      <c r="G691" s="243">
        <v>599676.37</v>
      </c>
      <c r="H691" s="243">
        <f t="shared" si="22"/>
        <v>100</v>
      </c>
      <c r="I691" s="123" t="str">
        <f t="shared" si="23"/>
        <v>07039010080000610</v>
      </c>
    </row>
    <row r="692" spans="1:9">
      <c r="A692" s="241" t="s">
        <v>366</v>
      </c>
      <c r="B692" s="242" t="s">
        <v>230</v>
      </c>
      <c r="C692" s="242" t="s">
        <v>1078</v>
      </c>
      <c r="D692" s="242" t="s">
        <v>793</v>
      </c>
      <c r="E692" s="242" t="s">
        <v>367</v>
      </c>
      <c r="F692" s="243">
        <v>599676.37</v>
      </c>
      <c r="G692" s="243">
        <v>599676.37</v>
      </c>
      <c r="H692" s="243">
        <f t="shared" si="22"/>
        <v>100</v>
      </c>
      <c r="I692" s="123" t="str">
        <f t="shared" si="23"/>
        <v>07039010080000612</v>
      </c>
    </row>
    <row r="693" spans="1:9">
      <c r="A693" s="241" t="s">
        <v>1075</v>
      </c>
      <c r="B693" s="242" t="s">
        <v>230</v>
      </c>
      <c r="C693" s="242" t="s">
        <v>365</v>
      </c>
      <c r="D693" s="242"/>
      <c r="E693" s="242"/>
      <c r="F693" s="243">
        <v>13329012</v>
      </c>
      <c r="G693" s="243">
        <v>12618181.65</v>
      </c>
      <c r="H693" s="243">
        <f t="shared" si="22"/>
        <v>94.667043963948714</v>
      </c>
      <c r="I693" s="123" t="str">
        <f t="shared" si="23"/>
        <v>0707</v>
      </c>
    </row>
    <row r="694" spans="1:9">
      <c r="A694" s="241" t="s">
        <v>466</v>
      </c>
      <c r="B694" s="242" t="s">
        <v>230</v>
      </c>
      <c r="C694" s="242" t="s">
        <v>365</v>
      </c>
      <c r="D694" s="242" t="s">
        <v>985</v>
      </c>
      <c r="E694" s="242"/>
      <c r="F694" s="243">
        <v>13329012</v>
      </c>
      <c r="G694" s="243">
        <v>12618181.65</v>
      </c>
      <c r="H694" s="243">
        <f t="shared" si="22"/>
        <v>94.667043963948714</v>
      </c>
      <c r="I694" s="123" t="str">
        <f t="shared" si="23"/>
        <v>07070600000000</v>
      </c>
    </row>
    <row r="695" spans="1:9" ht="25.5">
      <c r="A695" s="241" t="s">
        <v>467</v>
      </c>
      <c r="B695" s="242" t="s">
        <v>230</v>
      </c>
      <c r="C695" s="242" t="s">
        <v>365</v>
      </c>
      <c r="D695" s="242" t="s">
        <v>986</v>
      </c>
      <c r="E695" s="242"/>
      <c r="F695" s="243">
        <v>1721925</v>
      </c>
      <c r="G695" s="243">
        <v>1528630.99</v>
      </c>
      <c r="H695" s="243">
        <f t="shared" si="22"/>
        <v>88.774539541501525</v>
      </c>
      <c r="I695" s="123" t="str">
        <f t="shared" si="23"/>
        <v>07070610000000</v>
      </c>
    </row>
    <row r="696" spans="1:9" ht="63.75">
      <c r="A696" s="241" t="s">
        <v>1952</v>
      </c>
      <c r="B696" s="242" t="s">
        <v>230</v>
      </c>
      <c r="C696" s="242" t="s">
        <v>365</v>
      </c>
      <c r="D696" s="242" t="s">
        <v>1953</v>
      </c>
      <c r="E696" s="242"/>
      <c r="F696" s="243">
        <v>511750</v>
      </c>
      <c r="G696" s="243">
        <v>511750</v>
      </c>
      <c r="H696" s="243">
        <f t="shared" si="22"/>
        <v>100</v>
      </c>
      <c r="I696" s="123" t="str">
        <f t="shared" si="23"/>
        <v>07070610080010</v>
      </c>
    </row>
    <row r="697" spans="1:9" ht="25.5">
      <c r="A697" s="241" t="s">
        <v>1327</v>
      </c>
      <c r="B697" s="242" t="s">
        <v>230</v>
      </c>
      <c r="C697" s="242" t="s">
        <v>365</v>
      </c>
      <c r="D697" s="242" t="s">
        <v>1953</v>
      </c>
      <c r="E697" s="242" t="s">
        <v>1328</v>
      </c>
      <c r="F697" s="243">
        <v>511750</v>
      </c>
      <c r="G697" s="243">
        <v>511750</v>
      </c>
      <c r="H697" s="243">
        <f t="shared" si="22"/>
        <v>100</v>
      </c>
      <c r="I697" s="123" t="str">
        <f t="shared" si="23"/>
        <v>07070610080010600</v>
      </c>
    </row>
    <row r="698" spans="1:9">
      <c r="A698" s="241" t="s">
        <v>1198</v>
      </c>
      <c r="B698" s="242" t="s">
        <v>230</v>
      </c>
      <c r="C698" s="242" t="s">
        <v>365</v>
      </c>
      <c r="D698" s="242" t="s">
        <v>1953</v>
      </c>
      <c r="E698" s="242" t="s">
        <v>1199</v>
      </c>
      <c r="F698" s="243">
        <v>511750</v>
      </c>
      <c r="G698" s="243">
        <v>511750</v>
      </c>
      <c r="H698" s="243">
        <f t="shared" si="22"/>
        <v>100</v>
      </c>
      <c r="I698" s="123" t="str">
        <f t="shared" si="23"/>
        <v>07070610080010610</v>
      </c>
    </row>
    <row r="699" spans="1:9" ht="51">
      <c r="A699" s="241" t="s">
        <v>347</v>
      </c>
      <c r="B699" s="242" t="s">
        <v>230</v>
      </c>
      <c r="C699" s="242" t="s">
        <v>365</v>
      </c>
      <c r="D699" s="242" t="s">
        <v>1953</v>
      </c>
      <c r="E699" s="242" t="s">
        <v>348</v>
      </c>
      <c r="F699" s="243">
        <v>511750</v>
      </c>
      <c r="G699" s="243">
        <v>511750</v>
      </c>
      <c r="H699" s="243">
        <f t="shared" si="22"/>
        <v>100</v>
      </c>
      <c r="I699" s="123" t="str">
        <f t="shared" si="23"/>
        <v>07070610080010611</v>
      </c>
    </row>
    <row r="700" spans="1:9" ht="63.75">
      <c r="A700" s="241" t="s">
        <v>1515</v>
      </c>
      <c r="B700" s="242" t="s">
        <v>230</v>
      </c>
      <c r="C700" s="242" t="s">
        <v>365</v>
      </c>
      <c r="D700" s="242" t="s">
        <v>682</v>
      </c>
      <c r="E700" s="242"/>
      <c r="F700" s="243">
        <v>1210175</v>
      </c>
      <c r="G700" s="243">
        <v>1016880.99</v>
      </c>
      <c r="H700" s="243">
        <f t="shared" si="22"/>
        <v>84.027598487822004</v>
      </c>
      <c r="I700" s="123" t="str">
        <f t="shared" si="23"/>
        <v>070706100S4560</v>
      </c>
    </row>
    <row r="701" spans="1:9" ht="25.5">
      <c r="A701" s="241" t="s">
        <v>1327</v>
      </c>
      <c r="B701" s="242" t="s">
        <v>230</v>
      </c>
      <c r="C701" s="242" t="s">
        <v>365</v>
      </c>
      <c r="D701" s="242" t="s">
        <v>682</v>
      </c>
      <c r="E701" s="242" t="s">
        <v>1328</v>
      </c>
      <c r="F701" s="243">
        <v>1210175</v>
      </c>
      <c r="G701" s="243">
        <v>1016880.99</v>
      </c>
      <c r="H701" s="243">
        <f t="shared" si="22"/>
        <v>84.027598487822004</v>
      </c>
      <c r="I701" s="123" t="str">
        <f t="shared" si="23"/>
        <v>070706100S4560600</v>
      </c>
    </row>
    <row r="702" spans="1:9">
      <c r="A702" s="241" t="s">
        <v>1198</v>
      </c>
      <c r="B702" s="242" t="s">
        <v>230</v>
      </c>
      <c r="C702" s="242" t="s">
        <v>365</v>
      </c>
      <c r="D702" s="242" t="s">
        <v>682</v>
      </c>
      <c r="E702" s="242" t="s">
        <v>1199</v>
      </c>
      <c r="F702" s="243">
        <v>1210175</v>
      </c>
      <c r="G702" s="243">
        <v>1016880.99</v>
      </c>
      <c r="H702" s="243">
        <f t="shared" si="22"/>
        <v>84.027598487822004</v>
      </c>
      <c r="I702" s="123" t="str">
        <f t="shared" si="23"/>
        <v>070706100S4560610</v>
      </c>
    </row>
    <row r="703" spans="1:9" ht="51">
      <c r="A703" s="241" t="s">
        <v>347</v>
      </c>
      <c r="B703" s="242" t="s">
        <v>230</v>
      </c>
      <c r="C703" s="242" t="s">
        <v>365</v>
      </c>
      <c r="D703" s="242" t="s">
        <v>682</v>
      </c>
      <c r="E703" s="242" t="s">
        <v>348</v>
      </c>
      <c r="F703" s="243">
        <v>1210175</v>
      </c>
      <c r="G703" s="243">
        <v>1016880.99</v>
      </c>
      <c r="H703" s="243">
        <f t="shared" si="22"/>
        <v>84.027598487822004</v>
      </c>
      <c r="I703" s="123" t="str">
        <f t="shared" si="23"/>
        <v>070706100S4560611</v>
      </c>
    </row>
    <row r="704" spans="1:9" ht="25.5">
      <c r="A704" s="241" t="s">
        <v>469</v>
      </c>
      <c r="B704" s="242" t="s">
        <v>230</v>
      </c>
      <c r="C704" s="242" t="s">
        <v>365</v>
      </c>
      <c r="D704" s="242" t="s">
        <v>1954</v>
      </c>
      <c r="E704" s="242"/>
      <c r="F704" s="243">
        <v>308100</v>
      </c>
      <c r="G704" s="243">
        <v>298661.3</v>
      </c>
      <c r="H704" s="243">
        <f t="shared" si="22"/>
        <v>96.936481661798112</v>
      </c>
      <c r="I704" s="123" t="str">
        <f t="shared" si="23"/>
        <v>07070620000000</v>
      </c>
    </row>
    <row r="705" spans="1:9" ht="51">
      <c r="A705" s="241" t="s">
        <v>369</v>
      </c>
      <c r="B705" s="242" t="s">
        <v>230</v>
      </c>
      <c r="C705" s="242" t="s">
        <v>365</v>
      </c>
      <c r="D705" s="242" t="s">
        <v>683</v>
      </c>
      <c r="E705" s="242"/>
      <c r="F705" s="243">
        <v>205100</v>
      </c>
      <c r="G705" s="243">
        <v>205100</v>
      </c>
      <c r="H705" s="243">
        <f t="shared" si="22"/>
        <v>100</v>
      </c>
      <c r="I705" s="123" t="str">
        <f t="shared" si="23"/>
        <v>07070620080000</v>
      </c>
    </row>
    <row r="706" spans="1:9" ht="25.5">
      <c r="A706" s="241" t="s">
        <v>1327</v>
      </c>
      <c r="B706" s="242" t="s">
        <v>230</v>
      </c>
      <c r="C706" s="242" t="s">
        <v>365</v>
      </c>
      <c r="D706" s="242" t="s">
        <v>683</v>
      </c>
      <c r="E706" s="242" t="s">
        <v>1328</v>
      </c>
      <c r="F706" s="243">
        <v>205100</v>
      </c>
      <c r="G706" s="243">
        <v>205100</v>
      </c>
      <c r="H706" s="243">
        <f t="shared" si="22"/>
        <v>100</v>
      </c>
      <c r="I706" s="123" t="str">
        <f t="shared" si="23"/>
        <v>07070620080000600</v>
      </c>
    </row>
    <row r="707" spans="1:9">
      <c r="A707" s="241" t="s">
        <v>1198</v>
      </c>
      <c r="B707" s="242" t="s">
        <v>230</v>
      </c>
      <c r="C707" s="242" t="s">
        <v>365</v>
      </c>
      <c r="D707" s="242" t="s">
        <v>683</v>
      </c>
      <c r="E707" s="242" t="s">
        <v>1199</v>
      </c>
      <c r="F707" s="243">
        <v>205100</v>
      </c>
      <c r="G707" s="243">
        <v>205100</v>
      </c>
      <c r="H707" s="243">
        <f t="shared" si="22"/>
        <v>100</v>
      </c>
      <c r="I707" s="123" t="str">
        <f t="shared" si="23"/>
        <v>07070620080000610</v>
      </c>
    </row>
    <row r="708" spans="1:9" ht="51">
      <c r="A708" s="241" t="s">
        <v>347</v>
      </c>
      <c r="B708" s="242" t="s">
        <v>230</v>
      </c>
      <c r="C708" s="242" t="s">
        <v>365</v>
      </c>
      <c r="D708" s="242" t="s">
        <v>683</v>
      </c>
      <c r="E708" s="242" t="s">
        <v>348</v>
      </c>
      <c r="F708" s="243">
        <v>205100</v>
      </c>
      <c r="G708" s="243">
        <v>205100</v>
      </c>
      <c r="H708" s="243">
        <f t="shared" si="22"/>
        <v>100</v>
      </c>
      <c r="I708" s="123" t="str">
        <f t="shared" si="23"/>
        <v>07070620080000611</v>
      </c>
    </row>
    <row r="709" spans="1:9" ht="76.5">
      <c r="A709" s="241" t="s">
        <v>1517</v>
      </c>
      <c r="B709" s="242" t="s">
        <v>230</v>
      </c>
      <c r="C709" s="242" t="s">
        <v>365</v>
      </c>
      <c r="D709" s="242" t="s">
        <v>1504</v>
      </c>
      <c r="E709" s="242"/>
      <c r="F709" s="243">
        <v>20000</v>
      </c>
      <c r="G709" s="243">
        <v>20000</v>
      </c>
      <c r="H709" s="243">
        <f t="shared" si="22"/>
        <v>100</v>
      </c>
      <c r="I709" s="123" t="str">
        <f t="shared" si="23"/>
        <v>070706200S4540</v>
      </c>
    </row>
    <row r="710" spans="1:9" ht="25.5">
      <c r="A710" s="241" t="s">
        <v>1327</v>
      </c>
      <c r="B710" s="242" t="s">
        <v>230</v>
      </c>
      <c r="C710" s="242" t="s">
        <v>365</v>
      </c>
      <c r="D710" s="242" t="s">
        <v>1504</v>
      </c>
      <c r="E710" s="242" t="s">
        <v>1328</v>
      </c>
      <c r="F710" s="243">
        <v>20000</v>
      </c>
      <c r="G710" s="243">
        <v>20000</v>
      </c>
      <c r="H710" s="243">
        <f t="shared" ref="H710:H773" si="24">G710/F710*100</f>
        <v>100</v>
      </c>
      <c r="I710" s="123" t="str">
        <f t="shared" si="23"/>
        <v>070706200S4540600</v>
      </c>
    </row>
    <row r="711" spans="1:9">
      <c r="A711" s="241" t="s">
        <v>1198</v>
      </c>
      <c r="B711" s="242" t="s">
        <v>230</v>
      </c>
      <c r="C711" s="242" t="s">
        <v>365</v>
      </c>
      <c r="D711" s="242" t="s">
        <v>1504</v>
      </c>
      <c r="E711" s="242" t="s">
        <v>1199</v>
      </c>
      <c r="F711" s="243">
        <v>20000</v>
      </c>
      <c r="G711" s="243">
        <v>20000</v>
      </c>
      <c r="H711" s="243">
        <f t="shared" si="24"/>
        <v>100</v>
      </c>
      <c r="I711" s="123" t="str">
        <f t="shared" si="23"/>
        <v>070706200S4540610</v>
      </c>
    </row>
    <row r="712" spans="1:9" ht="51">
      <c r="A712" s="241" t="s">
        <v>347</v>
      </c>
      <c r="B712" s="242" t="s">
        <v>230</v>
      </c>
      <c r="C712" s="242" t="s">
        <v>365</v>
      </c>
      <c r="D712" s="242" t="s">
        <v>1504</v>
      </c>
      <c r="E712" s="242" t="s">
        <v>348</v>
      </c>
      <c r="F712" s="243">
        <v>20000</v>
      </c>
      <c r="G712" s="243">
        <v>20000</v>
      </c>
      <c r="H712" s="243">
        <f t="shared" si="24"/>
        <v>100</v>
      </c>
      <c r="I712" s="123" t="str">
        <f t="shared" si="23"/>
        <v>070706200S4540611</v>
      </c>
    </row>
    <row r="713" spans="1:9" ht="63.75">
      <c r="A713" s="241" t="s">
        <v>2143</v>
      </c>
      <c r="B713" s="242" t="s">
        <v>230</v>
      </c>
      <c r="C713" s="242" t="s">
        <v>365</v>
      </c>
      <c r="D713" s="242" t="s">
        <v>2144</v>
      </c>
      <c r="E713" s="242"/>
      <c r="F713" s="243">
        <v>83000</v>
      </c>
      <c r="G713" s="243">
        <v>73561.3</v>
      </c>
      <c r="H713" s="243">
        <f t="shared" si="24"/>
        <v>88.628072289156634</v>
      </c>
      <c r="I713" s="123" t="str">
        <f t="shared" si="23"/>
        <v>070706200S4560</v>
      </c>
    </row>
    <row r="714" spans="1:9" ht="25.5">
      <c r="A714" s="241" t="s">
        <v>1327</v>
      </c>
      <c r="B714" s="242" t="s">
        <v>230</v>
      </c>
      <c r="C714" s="242" t="s">
        <v>365</v>
      </c>
      <c r="D714" s="242" t="s">
        <v>2144</v>
      </c>
      <c r="E714" s="242" t="s">
        <v>1328</v>
      </c>
      <c r="F714" s="243">
        <v>83000</v>
      </c>
      <c r="G714" s="243">
        <v>73561.3</v>
      </c>
      <c r="H714" s="243">
        <f t="shared" si="24"/>
        <v>88.628072289156634</v>
      </c>
      <c r="I714" s="123" t="str">
        <f t="shared" si="23"/>
        <v>070706200S4560600</v>
      </c>
    </row>
    <row r="715" spans="1:9">
      <c r="A715" s="241" t="s">
        <v>1198</v>
      </c>
      <c r="B715" s="242" t="s">
        <v>230</v>
      </c>
      <c r="C715" s="242" t="s">
        <v>365</v>
      </c>
      <c r="D715" s="242" t="s">
        <v>2144</v>
      </c>
      <c r="E715" s="242" t="s">
        <v>1199</v>
      </c>
      <c r="F715" s="243">
        <v>83000</v>
      </c>
      <c r="G715" s="243">
        <v>73561.3</v>
      </c>
      <c r="H715" s="243">
        <f t="shared" si="24"/>
        <v>88.628072289156634</v>
      </c>
      <c r="I715" s="123" t="str">
        <f t="shared" si="23"/>
        <v>070706200S4560610</v>
      </c>
    </row>
    <row r="716" spans="1:9" ht="51">
      <c r="A716" s="241" t="s">
        <v>347</v>
      </c>
      <c r="B716" s="242" t="s">
        <v>230</v>
      </c>
      <c r="C716" s="242" t="s">
        <v>365</v>
      </c>
      <c r="D716" s="242" t="s">
        <v>2144</v>
      </c>
      <c r="E716" s="242" t="s">
        <v>348</v>
      </c>
      <c r="F716" s="243">
        <v>83000</v>
      </c>
      <c r="G716" s="243">
        <v>73561.3</v>
      </c>
      <c r="H716" s="243">
        <f t="shared" si="24"/>
        <v>88.628072289156634</v>
      </c>
      <c r="I716" s="123" t="str">
        <f t="shared" si="23"/>
        <v>070706200S4560611</v>
      </c>
    </row>
    <row r="717" spans="1:9" ht="25.5">
      <c r="A717" s="241" t="s">
        <v>447</v>
      </c>
      <c r="B717" s="242" t="s">
        <v>230</v>
      </c>
      <c r="C717" s="242" t="s">
        <v>365</v>
      </c>
      <c r="D717" s="242" t="s">
        <v>987</v>
      </c>
      <c r="E717" s="242"/>
      <c r="F717" s="243">
        <v>11148262</v>
      </c>
      <c r="G717" s="243">
        <v>10710739.359999999</v>
      </c>
      <c r="H717" s="243">
        <f t="shared" si="24"/>
        <v>96.075418392570967</v>
      </c>
      <c r="I717" s="123" t="str">
        <f t="shared" si="23"/>
        <v>07070640000000</v>
      </c>
    </row>
    <row r="718" spans="1:9" ht="89.25">
      <c r="A718" s="241" t="s">
        <v>2225</v>
      </c>
      <c r="B718" s="242" t="s">
        <v>230</v>
      </c>
      <c r="C718" s="242" t="s">
        <v>365</v>
      </c>
      <c r="D718" s="242" t="s">
        <v>2226</v>
      </c>
      <c r="E718" s="242"/>
      <c r="F718" s="243">
        <v>716100</v>
      </c>
      <c r="G718" s="243">
        <v>716100</v>
      </c>
      <c r="H718" s="243">
        <f t="shared" si="24"/>
        <v>100</v>
      </c>
      <c r="I718" s="123" t="str">
        <f t="shared" si="23"/>
        <v>07070640010340</v>
      </c>
    </row>
    <row r="719" spans="1:9" ht="25.5">
      <c r="A719" s="241" t="s">
        <v>1327</v>
      </c>
      <c r="B719" s="242" t="s">
        <v>230</v>
      </c>
      <c r="C719" s="242" t="s">
        <v>365</v>
      </c>
      <c r="D719" s="242" t="s">
        <v>2226</v>
      </c>
      <c r="E719" s="242" t="s">
        <v>1328</v>
      </c>
      <c r="F719" s="243">
        <v>716100</v>
      </c>
      <c r="G719" s="243">
        <v>716100</v>
      </c>
      <c r="H719" s="243">
        <f t="shared" si="24"/>
        <v>100</v>
      </c>
      <c r="I719" s="123" t="str">
        <f t="shared" si="23"/>
        <v>07070640010340600</v>
      </c>
    </row>
    <row r="720" spans="1:9">
      <c r="A720" s="241" t="s">
        <v>1198</v>
      </c>
      <c r="B720" s="242" t="s">
        <v>230</v>
      </c>
      <c r="C720" s="242" t="s">
        <v>365</v>
      </c>
      <c r="D720" s="242" t="s">
        <v>2226</v>
      </c>
      <c r="E720" s="242" t="s">
        <v>1199</v>
      </c>
      <c r="F720" s="243">
        <v>716100</v>
      </c>
      <c r="G720" s="243">
        <v>716100</v>
      </c>
      <c r="H720" s="243">
        <f t="shared" si="24"/>
        <v>100</v>
      </c>
      <c r="I720" s="123" t="str">
        <f t="shared" si="23"/>
        <v>07070640010340610</v>
      </c>
    </row>
    <row r="721" spans="1:9" ht="51">
      <c r="A721" s="241" t="s">
        <v>347</v>
      </c>
      <c r="B721" s="242" t="s">
        <v>230</v>
      </c>
      <c r="C721" s="242" t="s">
        <v>365</v>
      </c>
      <c r="D721" s="242" t="s">
        <v>2226</v>
      </c>
      <c r="E721" s="242" t="s">
        <v>348</v>
      </c>
      <c r="F721" s="243">
        <v>716100</v>
      </c>
      <c r="G721" s="243">
        <v>716100</v>
      </c>
      <c r="H721" s="243">
        <f t="shared" si="24"/>
        <v>100</v>
      </c>
      <c r="I721" s="123" t="str">
        <f t="shared" si="23"/>
        <v>07070640010340611</v>
      </c>
    </row>
    <row r="722" spans="1:9" ht="127.5">
      <c r="A722" s="241" t="s">
        <v>2058</v>
      </c>
      <c r="B722" s="242" t="s">
        <v>230</v>
      </c>
      <c r="C722" s="242" t="s">
        <v>365</v>
      </c>
      <c r="D722" s="242" t="s">
        <v>2059</v>
      </c>
      <c r="E722" s="242"/>
      <c r="F722" s="243">
        <v>206600</v>
      </c>
      <c r="G722" s="243">
        <v>206600</v>
      </c>
      <c r="H722" s="243">
        <f t="shared" si="24"/>
        <v>100</v>
      </c>
      <c r="I722" s="123" t="str">
        <f t="shared" si="23"/>
        <v>07070640027241</v>
      </c>
    </row>
    <row r="723" spans="1:9" ht="25.5">
      <c r="A723" s="241" t="s">
        <v>1327</v>
      </c>
      <c r="B723" s="242" t="s">
        <v>230</v>
      </c>
      <c r="C723" s="242" t="s">
        <v>365</v>
      </c>
      <c r="D723" s="242" t="s">
        <v>2059</v>
      </c>
      <c r="E723" s="242" t="s">
        <v>1328</v>
      </c>
      <c r="F723" s="243">
        <v>206600</v>
      </c>
      <c r="G723" s="243">
        <v>206600</v>
      </c>
      <c r="H723" s="243">
        <f t="shared" si="24"/>
        <v>100</v>
      </c>
      <c r="I723" s="123" t="str">
        <f t="shared" si="23"/>
        <v>07070640027241600</v>
      </c>
    </row>
    <row r="724" spans="1:9">
      <c r="A724" s="241" t="s">
        <v>1198</v>
      </c>
      <c r="B724" s="242" t="s">
        <v>230</v>
      </c>
      <c r="C724" s="242" t="s">
        <v>365</v>
      </c>
      <c r="D724" s="242" t="s">
        <v>2059</v>
      </c>
      <c r="E724" s="242" t="s">
        <v>1199</v>
      </c>
      <c r="F724" s="243">
        <v>206600</v>
      </c>
      <c r="G724" s="243">
        <v>206600</v>
      </c>
      <c r="H724" s="243">
        <f t="shared" si="24"/>
        <v>100</v>
      </c>
      <c r="I724" s="123" t="str">
        <f t="shared" si="23"/>
        <v>07070640027241610</v>
      </c>
    </row>
    <row r="725" spans="1:9" ht="51">
      <c r="A725" s="241" t="s">
        <v>347</v>
      </c>
      <c r="B725" s="242" t="s">
        <v>230</v>
      </c>
      <c r="C725" s="242" t="s">
        <v>365</v>
      </c>
      <c r="D725" s="242" t="s">
        <v>2059</v>
      </c>
      <c r="E725" s="242" t="s">
        <v>348</v>
      </c>
      <c r="F725" s="243">
        <v>206600</v>
      </c>
      <c r="G725" s="243">
        <v>206600</v>
      </c>
      <c r="H725" s="243">
        <f t="shared" si="24"/>
        <v>100</v>
      </c>
      <c r="I725" s="123" t="str">
        <f t="shared" si="23"/>
        <v>07070640027241611</v>
      </c>
    </row>
    <row r="726" spans="1:9" ht="76.5">
      <c r="A726" s="241" t="s">
        <v>2060</v>
      </c>
      <c r="B726" s="242" t="s">
        <v>230</v>
      </c>
      <c r="C726" s="242" t="s">
        <v>365</v>
      </c>
      <c r="D726" s="242" t="s">
        <v>2061</v>
      </c>
      <c r="E726" s="242"/>
      <c r="F726" s="243">
        <v>686261</v>
      </c>
      <c r="G726" s="243">
        <v>686261</v>
      </c>
      <c r="H726" s="243">
        <f t="shared" si="24"/>
        <v>100</v>
      </c>
      <c r="I726" s="123" t="str">
        <f t="shared" si="23"/>
        <v>07070640027242</v>
      </c>
    </row>
    <row r="727" spans="1:9" ht="25.5">
      <c r="A727" s="241" t="s">
        <v>1327</v>
      </c>
      <c r="B727" s="242" t="s">
        <v>230</v>
      </c>
      <c r="C727" s="242" t="s">
        <v>365</v>
      </c>
      <c r="D727" s="242" t="s">
        <v>2061</v>
      </c>
      <c r="E727" s="242" t="s">
        <v>1328</v>
      </c>
      <c r="F727" s="243">
        <v>686261</v>
      </c>
      <c r="G727" s="243">
        <v>686261</v>
      </c>
      <c r="H727" s="243">
        <f t="shared" si="24"/>
        <v>100</v>
      </c>
      <c r="I727" s="123" t="str">
        <f t="shared" si="23"/>
        <v>07070640027242600</v>
      </c>
    </row>
    <row r="728" spans="1:9">
      <c r="A728" s="241" t="s">
        <v>1198</v>
      </c>
      <c r="B728" s="242" t="s">
        <v>230</v>
      </c>
      <c r="C728" s="242" t="s">
        <v>365</v>
      </c>
      <c r="D728" s="242" t="s">
        <v>2061</v>
      </c>
      <c r="E728" s="242" t="s">
        <v>1199</v>
      </c>
      <c r="F728" s="243">
        <v>686261</v>
      </c>
      <c r="G728" s="243">
        <v>686261</v>
      </c>
      <c r="H728" s="243">
        <f t="shared" si="24"/>
        <v>100</v>
      </c>
      <c r="I728" s="123" t="str">
        <f t="shared" si="23"/>
        <v>07070640027242610</v>
      </c>
    </row>
    <row r="729" spans="1:9" ht="51">
      <c r="A729" s="241" t="s">
        <v>347</v>
      </c>
      <c r="B729" s="242" t="s">
        <v>230</v>
      </c>
      <c r="C729" s="242" t="s">
        <v>365</v>
      </c>
      <c r="D729" s="242" t="s">
        <v>2061</v>
      </c>
      <c r="E729" s="242" t="s">
        <v>348</v>
      </c>
      <c r="F729" s="243">
        <v>686261</v>
      </c>
      <c r="G729" s="243">
        <v>686261</v>
      </c>
      <c r="H729" s="243">
        <f t="shared" si="24"/>
        <v>100</v>
      </c>
      <c r="I729" s="123" t="str">
        <f t="shared" si="23"/>
        <v>07070640027242611</v>
      </c>
    </row>
    <row r="730" spans="1:9" ht="102">
      <c r="A730" s="241" t="s">
        <v>371</v>
      </c>
      <c r="B730" s="242" t="s">
        <v>230</v>
      </c>
      <c r="C730" s="242" t="s">
        <v>365</v>
      </c>
      <c r="D730" s="242" t="s">
        <v>685</v>
      </c>
      <c r="E730" s="242"/>
      <c r="F730" s="243">
        <v>5973583</v>
      </c>
      <c r="G730" s="243">
        <v>5856021</v>
      </c>
      <c r="H730" s="243">
        <f t="shared" si="24"/>
        <v>98.031968418284293</v>
      </c>
      <c r="I730" s="123" t="str">
        <f t="shared" si="23"/>
        <v>07070640040000</v>
      </c>
    </row>
    <row r="731" spans="1:9" ht="25.5">
      <c r="A731" s="241" t="s">
        <v>1327</v>
      </c>
      <c r="B731" s="242" t="s">
        <v>230</v>
      </c>
      <c r="C731" s="242" t="s">
        <v>365</v>
      </c>
      <c r="D731" s="242" t="s">
        <v>685</v>
      </c>
      <c r="E731" s="242" t="s">
        <v>1328</v>
      </c>
      <c r="F731" s="243">
        <v>5973583</v>
      </c>
      <c r="G731" s="243">
        <v>5856021</v>
      </c>
      <c r="H731" s="243">
        <f t="shared" si="24"/>
        <v>98.031968418284293</v>
      </c>
      <c r="I731" s="123" t="str">
        <f t="shared" si="23"/>
        <v>07070640040000600</v>
      </c>
    </row>
    <row r="732" spans="1:9">
      <c r="A732" s="241" t="s">
        <v>1198</v>
      </c>
      <c r="B732" s="242" t="s">
        <v>230</v>
      </c>
      <c r="C732" s="242" t="s">
        <v>365</v>
      </c>
      <c r="D732" s="242" t="s">
        <v>685</v>
      </c>
      <c r="E732" s="242" t="s">
        <v>1199</v>
      </c>
      <c r="F732" s="243">
        <v>5973583</v>
      </c>
      <c r="G732" s="243">
        <v>5856021</v>
      </c>
      <c r="H732" s="243">
        <f t="shared" si="24"/>
        <v>98.031968418284293</v>
      </c>
      <c r="I732" s="123" t="str">
        <f t="shared" si="23"/>
        <v>07070640040000610</v>
      </c>
    </row>
    <row r="733" spans="1:9" ht="51">
      <c r="A733" s="241" t="s">
        <v>347</v>
      </c>
      <c r="B733" s="242" t="s">
        <v>230</v>
      </c>
      <c r="C733" s="242" t="s">
        <v>365</v>
      </c>
      <c r="D733" s="242" t="s">
        <v>685</v>
      </c>
      <c r="E733" s="242" t="s">
        <v>348</v>
      </c>
      <c r="F733" s="243">
        <v>5973583</v>
      </c>
      <c r="G733" s="243">
        <v>5856021</v>
      </c>
      <c r="H733" s="243">
        <f t="shared" si="24"/>
        <v>98.031968418284293</v>
      </c>
      <c r="I733" s="123" t="str">
        <f t="shared" si="23"/>
        <v>07070640040000611</v>
      </c>
    </row>
    <row r="734" spans="1:9" ht="127.5">
      <c r="A734" s="241" t="s">
        <v>372</v>
      </c>
      <c r="B734" s="242" t="s">
        <v>230</v>
      </c>
      <c r="C734" s="242" t="s">
        <v>365</v>
      </c>
      <c r="D734" s="242" t="s">
        <v>686</v>
      </c>
      <c r="E734" s="242"/>
      <c r="F734" s="243">
        <v>1536900</v>
      </c>
      <c r="G734" s="243">
        <v>1340904.95</v>
      </c>
      <c r="H734" s="243">
        <f t="shared" si="24"/>
        <v>87.247377838506083</v>
      </c>
      <c r="I734" s="123" t="str">
        <f t="shared" si="23"/>
        <v>07070640041000</v>
      </c>
    </row>
    <row r="735" spans="1:9" ht="25.5">
      <c r="A735" s="241" t="s">
        <v>1327</v>
      </c>
      <c r="B735" s="242" t="s">
        <v>230</v>
      </c>
      <c r="C735" s="242" t="s">
        <v>365</v>
      </c>
      <c r="D735" s="242" t="s">
        <v>686</v>
      </c>
      <c r="E735" s="242" t="s">
        <v>1328</v>
      </c>
      <c r="F735" s="243">
        <v>1536900</v>
      </c>
      <c r="G735" s="243">
        <v>1340904.95</v>
      </c>
      <c r="H735" s="243">
        <f t="shared" si="24"/>
        <v>87.247377838506083</v>
      </c>
      <c r="I735" s="123" t="str">
        <f t="shared" si="23"/>
        <v>07070640041000600</v>
      </c>
    </row>
    <row r="736" spans="1:9">
      <c r="A736" s="241" t="s">
        <v>1198</v>
      </c>
      <c r="B736" s="242" t="s">
        <v>230</v>
      </c>
      <c r="C736" s="242" t="s">
        <v>365</v>
      </c>
      <c r="D736" s="242" t="s">
        <v>686</v>
      </c>
      <c r="E736" s="242" t="s">
        <v>1199</v>
      </c>
      <c r="F736" s="243">
        <v>1536900</v>
      </c>
      <c r="G736" s="243">
        <v>1340904.95</v>
      </c>
      <c r="H736" s="243">
        <f t="shared" si="24"/>
        <v>87.247377838506083</v>
      </c>
      <c r="I736" s="123" t="str">
        <f t="shared" si="23"/>
        <v>07070640041000610</v>
      </c>
    </row>
    <row r="737" spans="1:9" ht="51">
      <c r="A737" s="241" t="s">
        <v>347</v>
      </c>
      <c r="B737" s="242" t="s">
        <v>230</v>
      </c>
      <c r="C737" s="242" t="s">
        <v>365</v>
      </c>
      <c r="D737" s="242" t="s">
        <v>686</v>
      </c>
      <c r="E737" s="242" t="s">
        <v>348</v>
      </c>
      <c r="F737" s="243">
        <v>1536900</v>
      </c>
      <c r="G737" s="243">
        <v>1340904.95</v>
      </c>
      <c r="H737" s="243">
        <f t="shared" si="24"/>
        <v>87.247377838506083</v>
      </c>
      <c r="I737" s="123" t="str">
        <f t="shared" si="23"/>
        <v>07070640041000611</v>
      </c>
    </row>
    <row r="738" spans="1:9" ht="89.25">
      <c r="A738" s="241" t="s">
        <v>907</v>
      </c>
      <c r="B738" s="242" t="s">
        <v>230</v>
      </c>
      <c r="C738" s="242" t="s">
        <v>365</v>
      </c>
      <c r="D738" s="242" t="s">
        <v>906</v>
      </c>
      <c r="E738" s="242"/>
      <c r="F738" s="243">
        <v>17818</v>
      </c>
      <c r="G738" s="243">
        <v>17651.400000000001</v>
      </c>
      <c r="H738" s="243">
        <f t="shared" si="24"/>
        <v>99.064990459086317</v>
      </c>
      <c r="I738" s="123" t="str">
        <f t="shared" si="23"/>
        <v>07070640047000</v>
      </c>
    </row>
    <row r="739" spans="1:9" ht="25.5">
      <c r="A739" s="241" t="s">
        <v>1327</v>
      </c>
      <c r="B739" s="242" t="s">
        <v>230</v>
      </c>
      <c r="C739" s="242" t="s">
        <v>365</v>
      </c>
      <c r="D739" s="242" t="s">
        <v>906</v>
      </c>
      <c r="E739" s="242" t="s">
        <v>1328</v>
      </c>
      <c r="F739" s="243">
        <v>17818</v>
      </c>
      <c r="G739" s="243">
        <v>17651.400000000001</v>
      </c>
      <c r="H739" s="243">
        <f t="shared" si="24"/>
        <v>99.064990459086317</v>
      </c>
      <c r="I739" s="123" t="str">
        <f t="shared" si="23"/>
        <v>07070640047000600</v>
      </c>
    </row>
    <row r="740" spans="1:9">
      <c r="A740" s="241" t="s">
        <v>1198</v>
      </c>
      <c r="B740" s="242" t="s">
        <v>230</v>
      </c>
      <c r="C740" s="242" t="s">
        <v>365</v>
      </c>
      <c r="D740" s="242" t="s">
        <v>906</v>
      </c>
      <c r="E740" s="242" t="s">
        <v>1199</v>
      </c>
      <c r="F740" s="243">
        <v>17818</v>
      </c>
      <c r="G740" s="243">
        <v>17651.400000000001</v>
      </c>
      <c r="H740" s="243">
        <f t="shared" si="24"/>
        <v>99.064990459086317</v>
      </c>
      <c r="I740" s="123" t="str">
        <f t="shared" si="23"/>
        <v>07070640047000610</v>
      </c>
    </row>
    <row r="741" spans="1:9">
      <c r="A741" s="241" t="s">
        <v>366</v>
      </c>
      <c r="B741" s="242" t="s">
        <v>230</v>
      </c>
      <c r="C741" s="242" t="s">
        <v>365</v>
      </c>
      <c r="D741" s="242" t="s">
        <v>906</v>
      </c>
      <c r="E741" s="242" t="s">
        <v>367</v>
      </c>
      <c r="F741" s="243">
        <v>17818</v>
      </c>
      <c r="G741" s="243">
        <v>17651.400000000001</v>
      </c>
      <c r="H741" s="243">
        <f t="shared" si="24"/>
        <v>99.064990459086317</v>
      </c>
      <c r="I741" s="123" t="str">
        <f t="shared" si="23"/>
        <v>07070640047000612</v>
      </c>
    </row>
    <row r="742" spans="1:9" ht="76.5">
      <c r="A742" s="241" t="s">
        <v>1216</v>
      </c>
      <c r="B742" s="242" t="s">
        <v>230</v>
      </c>
      <c r="C742" s="242" t="s">
        <v>365</v>
      </c>
      <c r="D742" s="242" t="s">
        <v>1217</v>
      </c>
      <c r="E742" s="242"/>
      <c r="F742" s="243">
        <v>1069680</v>
      </c>
      <c r="G742" s="243">
        <v>1054732.6000000001</v>
      </c>
      <c r="H742" s="243">
        <f t="shared" si="24"/>
        <v>98.602628823573411</v>
      </c>
      <c r="I742" s="123" t="str">
        <f t="shared" si="23"/>
        <v>0707064004Г000</v>
      </c>
    </row>
    <row r="743" spans="1:9" ht="25.5">
      <c r="A743" s="241" t="s">
        <v>1327</v>
      </c>
      <c r="B743" s="242" t="s">
        <v>230</v>
      </c>
      <c r="C743" s="242" t="s">
        <v>365</v>
      </c>
      <c r="D743" s="242" t="s">
        <v>1217</v>
      </c>
      <c r="E743" s="242" t="s">
        <v>1328</v>
      </c>
      <c r="F743" s="243">
        <v>1069680</v>
      </c>
      <c r="G743" s="243">
        <v>1054732.6000000001</v>
      </c>
      <c r="H743" s="243">
        <f t="shared" si="24"/>
        <v>98.602628823573411</v>
      </c>
      <c r="I743" s="123" t="str">
        <f t="shared" ref="I743:I806" si="25">CONCATENATE(C743,D743,E743)</f>
        <v>0707064004Г000600</v>
      </c>
    </row>
    <row r="744" spans="1:9">
      <c r="A744" s="241" t="s">
        <v>1198</v>
      </c>
      <c r="B744" s="242" t="s">
        <v>230</v>
      </c>
      <c r="C744" s="242" t="s">
        <v>365</v>
      </c>
      <c r="D744" s="242" t="s">
        <v>1217</v>
      </c>
      <c r="E744" s="242" t="s">
        <v>1199</v>
      </c>
      <c r="F744" s="243">
        <v>1069680</v>
      </c>
      <c r="G744" s="243">
        <v>1054732.6000000001</v>
      </c>
      <c r="H744" s="243">
        <f t="shared" si="24"/>
        <v>98.602628823573411</v>
      </c>
      <c r="I744" s="123" t="str">
        <f t="shared" si="25"/>
        <v>0707064004Г000610</v>
      </c>
    </row>
    <row r="745" spans="1:9" ht="51">
      <c r="A745" s="241" t="s">
        <v>347</v>
      </c>
      <c r="B745" s="242" t="s">
        <v>230</v>
      </c>
      <c r="C745" s="242" t="s">
        <v>365</v>
      </c>
      <c r="D745" s="242" t="s">
        <v>1217</v>
      </c>
      <c r="E745" s="242" t="s">
        <v>348</v>
      </c>
      <c r="F745" s="243">
        <v>1069680</v>
      </c>
      <c r="G745" s="243">
        <v>1054732.6000000001</v>
      </c>
      <c r="H745" s="243">
        <f t="shared" si="24"/>
        <v>98.602628823573411</v>
      </c>
      <c r="I745" s="123" t="str">
        <f t="shared" si="25"/>
        <v>0707064004Г000611</v>
      </c>
    </row>
    <row r="746" spans="1:9" ht="76.5">
      <c r="A746" s="241" t="s">
        <v>1629</v>
      </c>
      <c r="B746" s="242" t="s">
        <v>230</v>
      </c>
      <c r="C746" s="242" t="s">
        <v>365</v>
      </c>
      <c r="D746" s="242" t="s">
        <v>1630</v>
      </c>
      <c r="E746" s="242"/>
      <c r="F746" s="243">
        <v>62058.41</v>
      </c>
      <c r="G746" s="243">
        <v>62058.41</v>
      </c>
      <c r="H746" s="243">
        <f t="shared" si="24"/>
        <v>100</v>
      </c>
      <c r="I746" s="123" t="str">
        <f t="shared" si="25"/>
        <v>0707064004М000</v>
      </c>
    </row>
    <row r="747" spans="1:9" ht="25.5">
      <c r="A747" s="241" t="s">
        <v>1327</v>
      </c>
      <c r="B747" s="242" t="s">
        <v>230</v>
      </c>
      <c r="C747" s="242" t="s">
        <v>365</v>
      </c>
      <c r="D747" s="242" t="s">
        <v>1630</v>
      </c>
      <c r="E747" s="242" t="s">
        <v>1328</v>
      </c>
      <c r="F747" s="243">
        <v>62058.41</v>
      </c>
      <c r="G747" s="243">
        <v>62058.41</v>
      </c>
      <c r="H747" s="243">
        <f t="shared" si="24"/>
        <v>100</v>
      </c>
      <c r="I747" s="123" t="str">
        <f t="shared" si="25"/>
        <v>0707064004М000600</v>
      </c>
    </row>
    <row r="748" spans="1:9">
      <c r="A748" s="241" t="s">
        <v>1198</v>
      </c>
      <c r="B748" s="242" t="s">
        <v>230</v>
      </c>
      <c r="C748" s="242" t="s">
        <v>365</v>
      </c>
      <c r="D748" s="242" t="s">
        <v>1630</v>
      </c>
      <c r="E748" s="242" t="s">
        <v>1199</v>
      </c>
      <c r="F748" s="243">
        <v>62058.41</v>
      </c>
      <c r="G748" s="243">
        <v>62058.41</v>
      </c>
      <c r="H748" s="243">
        <f t="shared" si="24"/>
        <v>100</v>
      </c>
      <c r="I748" s="123" t="str">
        <f t="shared" si="25"/>
        <v>0707064004М000610</v>
      </c>
    </row>
    <row r="749" spans="1:9" ht="51">
      <c r="A749" s="241" t="s">
        <v>347</v>
      </c>
      <c r="B749" s="242" t="s">
        <v>230</v>
      </c>
      <c r="C749" s="242" t="s">
        <v>365</v>
      </c>
      <c r="D749" s="242" t="s">
        <v>1630</v>
      </c>
      <c r="E749" s="242" t="s">
        <v>348</v>
      </c>
      <c r="F749" s="243">
        <v>62058.41</v>
      </c>
      <c r="G749" s="243">
        <v>62058.41</v>
      </c>
      <c r="H749" s="243">
        <f t="shared" si="24"/>
        <v>100</v>
      </c>
      <c r="I749" s="123" t="str">
        <f t="shared" si="25"/>
        <v>0707064004М000611</v>
      </c>
    </row>
    <row r="750" spans="1:9" ht="63.75">
      <c r="A750" s="241" t="s">
        <v>1218</v>
      </c>
      <c r="B750" s="242" t="s">
        <v>230</v>
      </c>
      <c r="C750" s="242" t="s">
        <v>365</v>
      </c>
      <c r="D750" s="242" t="s">
        <v>1219</v>
      </c>
      <c r="E750" s="242"/>
      <c r="F750" s="243">
        <v>92261.59</v>
      </c>
      <c r="G750" s="243">
        <v>45020</v>
      </c>
      <c r="H750" s="243">
        <f t="shared" si="24"/>
        <v>48.796037440932899</v>
      </c>
      <c r="I750" s="123" t="str">
        <f t="shared" si="25"/>
        <v>0707064004Э000</v>
      </c>
    </row>
    <row r="751" spans="1:9" ht="25.5">
      <c r="A751" s="241" t="s">
        <v>1327</v>
      </c>
      <c r="B751" s="242" t="s">
        <v>230</v>
      </c>
      <c r="C751" s="242" t="s">
        <v>365</v>
      </c>
      <c r="D751" s="242" t="s">
        <v>1219</v>
      </c>
      <c r="E751" s="242" t="s">
        <v>1328</v>
      </c>
      <c r="F751" s="243">
        <v>92261.59</v>
      </c>
      <c r="G751" s="243">
        <v>45020</v>
      </c>
      <c r="H751" s="243">
        <f t="shared" si="24"/>
        <v>48.796037440932899</v>
      </c>
      <c r="I751" s="123" t="str">
        <f t="shared" si="25"/>
        <v>0707064004Э000600</v>
      </c>
    </row>
    <row r="752" spans="1:9">
      <c r="A752" s="241" t="s">
        <v>1198</v>
      </c>
      <c r="B752" s="242" t="s">
        <v>230</v>
      </c>
      <c r="C752" s="242" t="s">
        <v>365</v>
      </c>
      <c r="D752" s="242" t="s">
        <v>1219</v>
      </c>
      <c r="E752" s="242" t="s">
        <v>1199</v>
      </c>
      <c r="F752" s="243">
        <v>92261.59</v>
      </c>
      <c r="G752" s="243">
        <v>45020</v>
      </c>
      <c r="H752" s="243">
        <f t="shared" si="24"/>
        <v>48.796037440932899</v>
      </c>
      <c r="I752" s="123" t="str">
        <f t="shared" si="25"/>
        <v>0707064004Э000610</v>
      </c>
    </row>
    <row r="753" spans="1:9" ht="51">
      <c r="A753" s="241" t="s">
        <v>347</v>
      </c>
      <c r="B753" s="242" t="s">
        <v>230</v>
      </c>
      <c r="C753" s="242" t="s">
        <v>365</v>
      </c>
      <c r="D753" s="242" t="s">
        <v>1219</v>
      </c>
      <c r="E753" s="242" t="s">
        <v>348</v>
      </c>
      <c r="F753" s="243">
        <v>92261.59</v>
      </c>
      <c r="G753" s="243">
        <v>45020</v>
      </c>
      <c r="H753" s="243">
        <f t="shared" si="24"/>
        <v>48.796037440932899</v>
      </c>
      <c r="I753" s="123" t="str">
        <f t="shared" si="25"/>
        <v>0707064004Э000611</v>
      </c>
    </row>
    <row r="754" spans="1:9" ht="63.75">
      <c r="A754" s="241" t="s">
        <v>370</v>
      </c>
      <c r="B754" s="242" t="s">
        <v>230</v>
      </c>
      <c r="C754" s="242" t="s">
        <v>365</v>
      </c>
      <c r="D754" s="242" t="s">
        <v>1349</v>
      </c>
      <c r="E754" s="242"/>
      <c r="F754" s="243">
        <v>437000</v>
      </c>
      <c r="G754" s="243">
        <v>408950</v>
      </c>
      <c r="H754" s="243">
        <f t="shared" si="24"/>
        <v>93.5812356979405</v>
      </c>
      <c r="I754" s="123" t="str">
        <f t="shared" si="25"/>
        <v>070706400S4560</v>
      </c>
    </row>
    <row r="755" spans="1:9" ht="25.5">
      <c r="A755" s="241" t="s">
        <v>1327</v>
      </c>
      <c r="B755" s="242" t="s">
        <v>230</v>
      </c>
      <c r="C755" s="242" t="s">
        <v>365</v>
      </c>
      <c r="D755" s="242" t="s">
        <v>1349</v>
      </c>
      <c r="E755" s="242" t="s">
        <v>1328</v>
      </c>
      <c r="F755" s="243">
        <v>437000</v>
      </c>
      <c r="G755" s="243">
        <v>408950</v>
      </c>
      <c r="H755" s="243">
        <f t="shared" si="24"/>
        <v>93.5812356979405</v>
      </c>
      <c r="I755" s="123" t="str">
        <f t="shared" si="25"/>
        <v>070706400S4560600</v>
      </c>
    </row>
    <row r="756" spans="1:9">
      <c r="A756" s="241" t="s">
        <v>1198</v>
      </c>
      <c r="B756" s="242" t="s">
        <v>230</v>
      </c>
      <c r="C756" s="242" t="s">
        <v>365</v>
      </c>
      <c r="D756" s="242" t="s">
        <v>1349</v>
      </c>
      <c r="E756" s="242" t="s">
        <v>1199</v>
      </c>
      <c r="F756" s="243">
        <v>437000</v>
      </c>
      <c r="G756" s="243">
        <v>408950</v>
      </c>
      <c r="H756" s="243">
        <f t="shared" si="24"/>
        <v>93.5812356979405</v>
      </c>
      <c r="I756" s="123" t="str">
        <f t="shared" si="25"/>
        <v>070706400S4560610</v>
      </c>
    </row>
    <row r="757" spans="1:9" ht="51">
      <c r="A757" s="241" t="s">
        <v>347</v>
      </c>
      <c r="B757" s="242" t="s">
        <v>230</v>
      </c>
      <c r="C757" s="242" t="s">
        <v>365</v>
      </c>
      <c r="D757" s="242" t="s">
        <v>1349</v>
      </c>
      <c r="E757" s="242" t="s">
        <v>348</v>
      </c>
      <c r="F757" s="243">
        <v>76000</v>
      </c>
      <c r="G757" s="243">
        <v>55800</v>
      </c>
      <c r="H757" s="243">
        <f t="shared" si="24"/>
        <v>73.421052631578945</v>
      </c>
      <c r="I757" s="123" t="str">
        <f t="shared" si="25"/>
        <v>070706400S4560611</v>
      </c>
    </row>
    <row r="758" spans="1:9">
      <c r="A758" s="241" t="s">
        <v>366</v>
      </c>
      <c r="B758" s="242" t="s">
        <v>230</v>
      </c>
      <c r="C758" s="242" t="s">
        <v>365</v>
      </c>
      <c r="D758" s="242" t="s">
        <v>1349</v>
      </c>
      <c r="E758" s="242" t="s">
        <v>367</v>
      </c>
      <c r="F758" s="243">
        <v>361000</v>
      </c>
      <c r="G758" s="243">
        <v>353150</v>
      </c>
      <c r="H758" s="243">
        <f t="shared" si="24"/>
        <v>97.825484764542935</v>
      </c>
      <c r="I758" s="123" t="str">
        <f t="shared" si="25"/>
        <v>070706400S4560612</v>
      </c>
    </row>
    <row r="759" spans="1:9" ht="89.25">
      <c r="A759" s="241" t="s">
        <v>2145</v>
      </c>
      <c r="B759" s="242" t="s">
        <v>230</v>
      </c>
      <c r="C759" s="242" t="s">
        <v>365</v>
      </c>
      <c r="D759" s="242" t="s">
        <v>2146</v>
      </c>
      <c r="E759" s="242"/>
      <c r="F759" s="243">
        <v>350000</v>
      </c>
      <c r="G759" s="243">
        <v>316440</v>
      </c>
      <c r="H759" s="243">
        <f t="shared" si="24"/>
        <v>90.411428571428573</v>
      </c>
      <c r="I759" s="123" t="str">
        <f t="shared" si="25"/>
        <v>070706400Ц0000</v>
      </c>
    </row>
    <row r="760" spans="1:9" ht="25.5">
      <c r="A760" s="241" t="s">
        <v>1327</v>
      </c>
      <c r="B760" s="242" t="s">
        <v>230</v>
      </c>
      <c r="C760" s="242" t="s">
        <v>365</v>
      </c>
      <c r="D760" s="242" t="s">
        <v>2146</v>
      </c>
      <c r="E760" s="242" t="s">
        <v>1328</v>
      </c>
      <c r="F760" s="243">
        <v>350000</v>
      </c>
      <c r="G760" s="243">
        <v>316440</v>
      </c>
      <c r="H760" s="243">
        <f t="shared" si="24"/>
        <v>90.411428571428573</v>
      </c>
      <c r="I760" s="123" t="str">
        <f t="shared" si="25"/>
        <v>070706400Ц0000600</v>
      </c>
    </row>
    <row r="761" spans="1:9">
      <c r="A761" s="241" t="s">
        <v>1198</v>
      </c>
      <c r="B761" s="242" t="s">
        <v>230</v>
      </c>
      <c r="C761" s="242" t="s">
        <v>365</v>
      </c>
      <c r="D761" s="242" t="s">
        <v>2146</v>
      </c>
      <c r="E761" s="242" t="s">
        <v>1199</v>
      </c>
      <c r="F761" s="243">
        <v>350000</v>
      </c>
      <c r="G761" s="243">
        <v>316440</v>
      </c>
      <c r="H761" s="243">
        <f t="shared" si="24"/>
        <v>90.411428571428573</v>
      </c>
      <c r="I761" s="123" t="str">
        <f t="shared" si="25"/>
        <v>070706400Ц0000610</v>
      </c>
    </row>
    <row r="762" spans="1:9">
      <c r="A762" s="241" t="s">
        <v>366</v>
      </c>
      <c r="B762" s="242" t="s">
        <v>230</v>
      </c>
      <c r="C762" s="242" t="s">
        <v>365</v>
      </c>
      <c r="D762" s="242" t="s">
        <v>2146</v>
      </c>
      <c r="E762" s="242" t="s">
        <v>367</v>
      </c>
      <c r="F762" s="243">
        <v>350000</v>
      </c>
      <c r="G762" s="243">
        <v>316440</v>
      </c>
      <c r="H762" s="243">
        <f t="shared" si="24"/>
        <v>90.411428571428573</v>
      </c>
      <c r="I762" s="123" t="str">
        <f t="shared" si="25"/>
        <v>070706400Ц0000612</v>
      </c>
    </row>
    <row r="763" spans="1:9" ht="25.5">
      <c r="A763" s="241" t="s">
        <v>1955</v>
      </c>
      <c r="B763" s="242" t="s">
        <v>230</v>
      </c>
      <c r="C763" s="242" t="s">
        <v>365</v>
      </c>
      <c r="D763" s="242" t="s">
        <v>1956</v>
      </c>
      <c r="E763" s="242"/>
      <c r="F763" s="243">
        <v>150725</v>
      </c>
      <c r="G763" s="243">
        <v>80150</v>
      </c>
      <c r="H763" s="243">
        <f t="shared" si="24"/>
        <v>53.176314480013268</v>
      </c>
      <c r="I763" s="123" t="str">
        <f t="shared" si="25"/>
        <v>07070650000000</v>
      </c>
    </row>
    <row r="764" spans="1:9" ht="76.5">
      <c r="A764" s="241" t="s">
        <v>1957</v>
      </c>
      <c r="B764" s="242" t="s">
        <v>230</v>
      </c>
      <c r="C764" s="242" t="s">
        <v>365</v>
      </c>
      <c r="D764" s="242" t="s">
        <v>1958</v>
      </c>
      <c r="E764" s="242"/>
      <c r="F764" s="243">
        <v>45500</v>
      </c>
      <c r="G764" s="243">
        <v>45500</v>
      </c>
      <c r="H764" s="243">
        <f t="shared" si="24"/>
        <v>100</v>
      </c>
      <c r="I764" s="123" t="str">
        <f t="shared" si="25"/>
        <v>07070650080010</v>
      </c>
    </row>
    <row r="765" spans="1:9" ht="25.5">
      <c r="A765" s="241" t="s">
        <v>1327</v>
      </c>
      <c r="B765" s="242" t="s">
        <v>230</v>
      </c>
      <c r="C765" s="242" t="s">
        <v>365</v>
      </c>
      <c r="D765" s="242" t="s">
        <v>1958</v>
      </c>
      <c r="E765" s="242" t="s">
        <v>1328</v>
      </c>
      <c r="F765" s="243">
        <v>45500</v>
      </c>
      <c r="G765" s="243">
        <v>45500</v>
      </c>
      <c r="H765" s="243">
        <f t="shared" si="24"/>
        <v>100</v>
      </c>
      <c r="I765" s="123" t="str">
        <f t="shared" si="25"/>
        <v>07070650080010600</v>
      </c>
    </row>
    <row r="766" spans="1:9">
      <c r="A766" s="241" t="s">
        <v>1198</v>
      </c>
      <c r="B766" s="242" t="s">
        <v>230</v>
      </c>
      <c r="C766" s="242" t="s">
        <v>365</v>
      </c>
      <c r="D766" s="242" t="s">
        <v>1958</v>
      </c>
      <c r="E766" s="242" t="s">
        <v>1199</v>
      </c>
      <c r="F766" s="243">
        <v>45500</v>
      </c>
      <c r="G766" s="243">
        <v>45500</v>
      </c>
      <c r="H766" s="243">
        <f t="shared" si="24"/>
        <v>100</v>
      </c>
      <c r="I766" s="123" t="str">
        <f t="shared" si="25"/>
        <v>07070650080010610</v>
      </c>
    </row>
    <row r="767" spans="1:9" ht="51">
      <c r="A767" s="241" t="s">
        <v>347</v>
      </c>
      <c r="B767" s="242" t="s">
        <v>230</v>
      </c>
      <c r="C767" s="242" t="s">
        <v>365</v>
      </c>
      <c r="D767" s="242" t="s">
        <v>1958</v>
      </c>
      <c r="E767" s="242" t="s">
        <v>348</v>
      </c>
      <c r="F767" s="243">
        <v>45500</v>
      </c>
      <c r="G767" s="243">
        <v>45500</v>
      </c>
      <c r="H767" s="243">
        <f t="shared" si="24"/>
        <v>100</v>
      </c>
      <c r="I767" s="123" t="str">
        <f t="shared" si="25"/>
        <v>07070650080010611</v>
      </c>
    </row>
    <row r="768" spans="1:9" ht="63.75">
      <c r="A768" s="241" t="s">
        <v>1959</v>
      </c>
      <c r="B768" s="242" t="s">
        <v>230</v>
      </c>
      <c r="C768" s="242" t="s">
        <v>365</v>
      </c>
      <c r="D768" s="242" t="s">
        <v>1960</v>
      </c>
      <c r="E768" s="242"/>
      <c r="F768" s="243">
        <v>30000</v>
      </c>
      <c r="G768" s="243">
        <v>30000</v>
      </c>
      <c r="H768" s="243">
        <f t="shared" si="24"/>
        <v>100</v>
      </c>
      <c r="I768" s="123" t="str">
        <f t="shared" si="25"/>
        <v>07070650080020</v>
      </c>
    </row>
    <row r="769" spans="1:9" ht="25.5">
      <c r="A769" s="241" t="s">
        <v>1327</v>
      </c>
      <c r="B769" s="242" t="s">
        <v>230</v>
      </c>
      <c r="C769" s="242" t="s">
        <v>365</v>
      </c>
      <c r="D769" s="242" t="s">
        <v>1960</v>
      </c>
      <c r="E769" s="242" t="s">
        <v>1328</v>
      </c>
      <c r="F769" s="243">
        <v>30000</v>
      </c>
      <c r="G769" s="243">
        <v>30000</v>
      </c>
      <c r="H769" s="243">
        <f t="shared" si="24"/>
        <v>100</v>
      </c>
      <c r="I769" s="123" t="str">
        <f t="shared" si="25"/>
        <v>07070650080020600</v>
      </c>
    </row>
    <row r="770" spans="1:9">
      <c r="A770" s="241" t="s">
        <v>1198</v>
      </c>
      <c r="B770" s="242" t="s">
        <v>230</v>
      </c>
      <c r="C770" s="242" t="s">
        <v>365</v>
      </c>
      <c r="D770" s="242" t="s">
        <v>1960</v>
      </c>
      <c r="E770" s="242" t="s">
        <v>1199</v>
      </c>
      <c r="F770" s="243">
        <v>30000</v>
      </c>
      <c r="G770" s="243">
        <v>30000</v>
      </c>
      <c r="H770" s="243">
        <f t="shared" si="24"/>
        <v>100</v>
      </c>
      <c r="I770" s="123" t="str">
        <f t="shared" si="25"/>
        <v>07070650080020610</v>
      </c>
    </row>
    <row r="771" spans="1:9" ht="51">
      <c r="A771" s="241" t="s">
        <v>347</v>
      </c>
      <c r="B771" s="242" t="s">
        <v>230</v>
      </c>
      <c r="C771" s="242" t="s">
        <v>365</v>
      </c>
      <c r="D771" s="242" t="s">
        <v>1960</v>
      </c>
      <c r="E771" s="242" t="s">
        <v>348</v>
      </c>
      <c r="F771" s="243">
        <v>30000</v>
      </c>
      <c r="G771" s="243">
        <v>30000</v>
      </c>
      <c r="H771" s="243">
        <f t="shared" si="24"/>
        <v>100</v>
      </c>
      <c r="I771" s="123" t="str">
        <f t="shared" si="25"/>
        <v>07070650080020611</v>
      </c>
    </row>
    <row r="772" spans="1:9" ht="63.75">
      <c r="A772" s="241" t="s">
        <v>2147</v>
      </c>
      <c r="B772" s="242" t="s">
        <v>230</v>
      </c>
      <c r="C772" s="242" t="s">
        <v>365</v>
      </c>
      <c r="D772" s="242" t="s">
        <v>2148</v>
      </c>
      <c r="E772" s="242"/>
      <c r="F772" s="243">
        <v>75225</v>
      </c>
      <c r="G772" s="243">
        <v>4650</v>
      </c>
      <c r="H772" s="243">
        <f t="shared" si="24"/>
        <v>6.1814556331006978</v>
      </c>
      <c r="I772" s="123" t="str">
        <f t="shared" si="25"/>
        <v>070706500S4560</v>
      </c>
    </row>
    <row r="773" spans="1:9" ht="25.5">
      <c r="A773" s="241" t="s">
        <v>1327</v>
      </c>
      <c r="B773" s="242" t="s">
        <v>230</v>
      </c>
      <c r="C773" s="242" t="s">
        <v>365</v>
      </c>
      <c r="D773" s="242" t="s">
        <v>2148</v>
      </c>
      <c r="E773" s="242" t="s">
        <v>1328</v>
      </c>
      <c r="F773" s="243">
        <v>75225</v>
      </c>
      <c r="G773" s="243">
        <v>4650</v>
      </c>
      <c r="H773" s="243">
        <f t="shared" si="24"/>
        <v>6.1814556331006978</v>
      </c>
      <c r="I773" s="123" t="str">
        <f t="shared" si="25"/>
        <v>070706500S4560600</v>
      </c>
    </row>
    <row r="774" spans="1:9">
      <c r="A774" s="241" t="s">
        <v>1198</v>
      </c>
      <c r="B774" s="242" t="s">
        <v>230</v>
      </c>
      <c r="C774" s="242" t="s">
        <v>365</v>
      </c>
      <c r="D774" s="242" t="s">
        <v>2148</v>
      </c>
      <c r="E774" s="242" t="s">
        <v>1199</v>
      </c>
      <c r="F774" s="243">
        <v>75225</v>
      </c>
      <c r="G774" s="243">
        <v>4650</v>
      </c>
      <c r="H774" s="243">
        <f t="shared" ref="H774:H837" si="26">G774/F774*100</f>
        <v>6.1814556331006978</v>
      </c>
      <c r="I774" s="123" t="str">
        <f t="shared" si="25"/>
        <v>070706500S4560610</v>
      </c>
    </row>
    <row r="775" spans="1:9" ht="51">
      <c r="A775" s="241" t="s">
        <v>347</v>
      </c>
      <c r="B775" s="242" t="s">
        <v>230</v>
      </c>
      <c r="C775" s="242" t="s">
        <v>365</v>
      </c>
      <c r="D775" s="242" t="s">
        <v>2148</v>
      </c>
      <c r="E775" s="242" t="s">
        <v>348</v>
      </c>
      <c r="F775" s="243">
        <v>75225</v>
      </c>
      <c r="G775" s="243">
        <v>4650</v>
      </c>
      <c r="H775" s="243">
        <f t="shared" si="26"/>
        <v>6.1814556331006978</v>
      </c>
      <c r="I775" s="123" t="str">
        <f t="shared" si="25"/>
        <v>070706500S4560611</v>
      </c>
    </row>
    <row r="776" spans="1:9">
      <c r="A776" s="241" t="s">
        <v>249</v>
      </c>
      <c r="B776" s="242" t="s">
        <v>230</v>
      </c>
      <c r="C776" s="242" t="s">
        <v>1148</v>
      </c>
      <c r="D776" s="242"/>
      <c r="E776" s="242"/>
      <c r="F776" s="243">
        <v>273973069.31</v>
      </c>
      <c r="G776" s="243">
        <v>269527210.18000001</v>
      </c>
      <c r="H776" s="243">
        <f t="shared" si="26"/>
        <v>98.377264181039081</v>
      </c>
      <c r="I776" s="123" t="str">
        <f t="shared" si="25"/>
        <v>0800</v>
      </c>
    </row>
    <row r="777" spans="1:9">
      <c r="A777" s="241" t="s">
        <v>209</v>
      </c>
      <c r="B777" s="242" t="s">
        <v>230</v>
      </c>
      <c r="C777" s="242" t="s">
        <v>392</v>
      </c>
      <c r="D777" s="242"/>
      <c r="E777" s="242"/>
      <c r="F777" s="243">
        <v>160611456.86000001</v>
      </c>
      <c r="G777" s="243">
        <v>156586825.69999999</v>
      </c>
      <c r="H777" s="243">
        <f t="shared" si="26"/>
        <v>97.494181773403525</v>
      </c>
      <c r="I777" s="123" t="str">
        <f t="shared" si="25"/>
        <v>0801</v>
      </c>
    </row>
    <row r="778" spans="1:9" ht="25.5">
      <c r="A778" s="241" t="s">
        <v>461</v>
      </c>
      <c r="B778" s="242" t="s">
        <v>230</v>
      </c>
      <c r="C778" s="242" t="s">
        <v>392</v>
      </c>
      <c r="D778" s="242" t="s">
        <v>981</v>
      </c>
      <c r="E778" s="242"/>
      <c r="F778" s="243">
        <v>160511456.86000001</v>
      </c>
      <c r="G778" s="243">
        <v>156586825.69999999</v>
      </c>
      <c r="H778" s="243">
        <f t="shared" si="26"/>
        <v>97.554921476151605</v>
      </c>
      <c r="I778" s="123" t="str">
        <f t="shared" si="25"/>
        <v>08010500000000</v>
      </c>
    </row>
    <row r="779" spans="1:9">
      <c r="A779" s="241" t="s">
        <v>462</v>
      </c>
      <c r="B779" s="242" t="s">
        <v>230</v>
      </c>
      <c r="C779" s="242" t="s">
        <v>392</v>
      </c>
      <c r="D779" s="242" t="s">
        <v>982</v>
      </c>
      <c r="E779" s="242"/>
      <c r="F779" s="243">
        <v>48699132.299999997</v>
      </c>
      <c r="G779" s="243">
        <v>48251494.899999999</v>
      </c>
      <c r="H779" s="243">
        <f t="shared" si="26"/>
        <v>99.080810316614205</v>
      </c>
      <c r="I779" s="123" t="str">
        <f t="shared" si="25"/>
        <v>08010510000000</v>
      </c>
    </row>
    <row r="780" spans="1:9" ht="63.75">
      <c r="A780" s="241" t="s">
        <v>2062</v>
      </c>
      <c r="B780" s="242" t="s">
        <v>230</v>
      </c>
      <c r="C780" s="242" t="s">
        <v>392</v>
      </c>
      <c r="D780" s="242" t="s">
        <v>2063</v>
      </c>
      <c r="E780" s="242"/>
      <c r="F780" s="243">
        <v>4937282</v>
      </c>
      <c r="G780" s="243">
        <v>4937282</v>
      </c>
      <c r="H780" s="243">
        <f t="shared" si="26"/>
        <v>100</v>
      </c>
      <c r="I780" s="123" t="str">
        <f t="shared" si="25"/>
        <v>08010510027240</v>
      </c>
    </row>
    <row r="781" spans="1:9" ht="25.5">
      <c r="A781" s="241" t="s">
        <v>1327</v>
      </c>
      <c r="B781" s="242" t="s">
        <v>230</v>
      </c>
      <c r="C781" s="242" t="s">
        <v>392</v>
      </c>
      <c r="D781" s="242" t="s">
        <v>2063</v>
      </c>
      <c r="E781" s="242" t="s">
        <v>1328</v>
      </c>
      <c r="F781" s="243">
        <v>4937282</v>
      </c>
      <c r="G781" s="243">
        <v>4937282</v>
      </c>
      <c r="H781" s="243">
        <f t="shared" si="26"/>
        <v>100</v>
      </c>
      <c r="I781" s="123" t="str">
        <f t="shared" si="25"/>
        <v>08010510027240600</v>
      </c>
    </row>
    <row r="782" spans="1:9">
      <c r="A782" s="241" t="s">
        <v>1198</v>
      </c>
      <c r="B782" s="242" t="s">
        <v>230</v>
      </c>
      <c r="C782" s="242" t="s">
        <v>392</v>
      </c>
      <c r="D782" s="242" t="s">
        <v>2063</v>
      </c>
      <c r="E782" s="242" t="s">
        <v>1199</v>
      </c>
      <c r="F782" s="243">
        <v>4937282</v>
      </c>
      <c r="G782" s="243">
        <v>4937282</v>
      </c>
      <c r="H782" s="243">
        <f t="shared" si="26"/>
        <v>100</v>
      </c>
      <c r="I782" s="123" t="str">
        <f t="shared" si="25"/>
        <v>08010510027240610</v>
      </c>
    </row>
    <row r="783" spans="1:9" ht="51">
      <c r="A783" s="241" t="s">
        <v>347</v>
      </c>
      <c r="B783" s="242" t="s">
        <v>230</v>
      </c>
      <c r="C783" s="242" t="s">
        <v>392</v>
      </c>
      <c r="D783" s="242" t="s">
        <v>2063</v>
      </c>
      <c r="E783" s="242" t="s">
        <v>348</v>
      </c>
      <c r="F783" s="243">
        <v>4937282</v>
      </c>
      <c r="G783" s="243">
        <v>4937282</v>
      </c>
      <c r="H783" s="243">
        <f t="shared" si="26"/>
        <v>100</v>
      </c>
      <c r="I783" s="123" t="str">
        <f t="shared" si="25"/>
        <v>08010510027240611</v>
      </c>
    </row>
    <row r="784" spans="1:9" ht="76.5">
      <c r="A784" s="241" t="s">
        <v>2064</v>
      </c>
      <c r="B784" s="242" t="s">
        <v>230</v>
      </c>
      <c r="C784" s="242" t="s">
        <v>392</v>
      </c>
      <c r="D784" s="242" t="s">
        <v>2065</v>
      </c>
      <c r="E784" s="242"/>
      <c r="F784" s="243">
        <v>1137648</v>
      </c>
      <c r="G784" s="243">
        <v>1137648</v>
      </c>
      <c r="H784" s="243">
        <f t="shared" si="26"/>
        <v>100</v>
      </c>
      <c r="I784" s="123" t="str">
        <f t="shared" si="25"/>
        <v>08010510027242</v>
      </c>
    </row>
    <row r="785" spans="1:9" ht="25.5">
      <c r="A785" s="241" t="s">
        <v>1327</v>
      </c>
      <c r="B785" s="242" t="s">
        <v>230</v>
      </c>
      <c r="C785" s="242" t="s">
        <v>392</v>
      </c>
      <c r="D785" s="242" t="s">
        <v>2065</v>
      </c>
      <c r="E785" s="242" t="s">
        <v>1328</v>
      </c>
      <c r="F785" s="243">
        <v>1137648</v>
      </c>
      <c r="G785" s="243">
        <v>1137648</v>
      </c>
      <c r="H785" s="243">
        <f t="shared" si="26"/>
        <v>100</v>
      </c>
      <c r="I785" s="123" t="str">
        <f t="shared" si="25"/>
        <v>08010510027242600</v>
      </c>
    </row>
    <row r="786" spans="1:9">
      <c r="A786" s="241" t="s">
        <v>1198</v>
      </c>
      <c r="B786" s="242" t="s">
        <v>230</v>
      </c>
      <c r="C786" s="242" t="s">
        <v>392</v>
      </c>
      <c r="D786" s="242" t="s">
        <v>2065</v>
      </c>
      <c r="E786" s="242" t="s">
        <v>1199</v>
      </c>
      <c r="F786" s="243">
        <v>1137648</v>
      </c>
      <c r="G786" s="243">
        <v>1137648</v>
      </c>
      <c r="H786" s="243">
        <f t="shared" si="26"/>
        <v>100</v>
      </c>
      <c r="I786" s="123" t="str">
        <f t="shared" si="25"/>
        <v>08010510027242610</v>
      </c>
    </row>
    <row r="787" spans="1:9" ht="51">
      <c r="A787" s="241" t="s">
        <v>347</v>
      </c>
      <c r="B787" s="242" t="s">
        <v>230</v>
      </c>
      <c r="C787" s="242" t="s">
        <v>392</v>
      </c>
      <c r="D787" s="242" t="s">
        <v>2065</v>
      </c>
      <c r="E787" s="242" t="s">
        <v>348</v>
      </c>
      <c r="F787" s="243">
        <v>1137648</v>
      </c>
      <c r="G787" s="243">
        <v>1137648</v>
      </c>
      <c r="H787" s="243">
        <f t="shared" si="26"/>
        <v>100</v>
      </c>
      <c r="I787" s="123" t="str">
        <f t="shared" si="25"/>
        <v>08010510027242611</v>
      </c>
    </row>
    <row r="788" spans="1:9" ht="89.25">
      <c r="A788" s="241" t="s">
        <v>397</v>
      </c>
      <c r="B788" s="242" t="s">
        <v>230</v>
      </c>
      <c r="C788" s="242" t="s">
        <v>392</v>
      </c>
      <c r="D788" s="242" t="s">
        <v>708</v>
      </c>
      <c r="E788" s="242"/>
      <c r="F788" s="243">
        <v>36423974</v>
      </c>
      <c r="G788" s="243">
        <v>36423974</v>
      </c>
      <c r="H788" s="243">
        <f t="shared" si="26"/>
        <v>100</v>
      </c>
      <c r="I788" s="123" t="str">
        <f t="shared" si="25"/>
        <v>08010510040000</v>
      </c>
    </row>
    <row r="789" spans="1:9" ht="25.5">
      <c r="A789" s="241" t="s">
        <v>1327</v>
      </c>
      <c r="B789" s="242" t="s">
        <v>230</v>
      </c>
      <c r="C789" s="242" t="s">
        <v>392</v>
      </c>
      <c r="D789" s="242" t="s">
        <v>708</v>
      </c>
      <c r="E789" s="242" t="s">
        <v>1328</v>
      </c>
      <c r="F789" s="243">
        <v>36423974</v>
      </c>
      <c r="G789" s="243">
        <v>36423974</v>
      </c>
      <c r="H789" s="243">
        <f t="shared" si="26"/>
        <v>100</v>
      </c>
      <c r="I789" s="123" t="str">
        <f t="shared" si="25"/>
        <v>08010510040000600</v>
      </c>
    </row>
    <row r="790" spans="1:9">
      <c r="A790" s="241" t="s">
        <v>1198</v>
      </c>
      <c r="B790" s="242" t="s">
        <v>230</v>
      </c>
      <c r="C790" s="242" t="s">
        <v>392</v>
      </c>
      <c r="D790" s="242" t="s">
        <v>708</v>
      </c>
      <c r="E790" s="242" t="s">
        <v>1199</v>
      </c>
      <c r="F790" s="243">
        <v>36423974</v>
      </c>
      <c r="G790" s="243">
        <v>36423974</v>
      </c>
      <c r="H790" s="243">
        <f t="shared" si="26"/>
        <v>100</v>
      </c>
      <c r="I790" s="123" t="str">
        <f t="shared" si="25"/>
        <v>08010510040000610</v>
      </c>
    </row>
    <row r="791" spans="1:9" ht="51">
      <c r="A791" s="241" t="s">
        <v>347</v>
      </c>
      <c r="B791" s="242" t="s">
        <v>230</v>
      </c>
      <c r="C791" s="242" t="s">
        <v>392</v>
      </c>
      <c r="D791" s="242" t="s">
        <v>708</v>
      </c>
      <c r="E791" s="242" t="s">
        <v>348</v>
      </c>
      <c r="F791" s="243">
        <v>36423974</v>
      </c>
      <c r="G791" s="243">
        <v>36423974</v>
      </c>
      <c r="H791" s="243">
        <f t="shared" si="26"/>
        <v>100</v>
      </c>
      <c r="I791" s="123" t="str">
        <f t="shared" si="25"/>
        <v>08010510040000611</v>
      </c>
    </row>
    <row r="792" spans="1:9" ht="114.75">
      <c r="A792" s="241" t="s">
        <v>398</v>
      </c>
      <c r="B792" s="242" t="s">
        <v>230</v>
      </c>
      <c r="C792" s="242" t="s">
        <v>392</v>
      </c>
      <c r="D792" s="242" t="s">
        <v>709</v>
      </c>
      <c r="E792" s="242"/>
      <c r="F792" s="243">
        <v>50000</v>
      </c>
      <c r="G792" s="243">
        <v>50000</v>
      </c>
      <c r="H792" s="243">
        <f t="shared" si="26"/>
        <v>100</v>
      </c>
      <c r="I792" s="123" t="str">
        <f t="shared" si="25"/>
        <v>08010510041000</v>
      </c>
    </row>
    <row r="793" spans="1:9" ht="25.5">
      <c r="A793" s="241" t="s">
        <v>1327</v>
      </c>
      <c r="B793" s="242" t="s">
        <v>230</v>
      </c>
      <c r="C793" s="242" t="s">
        <v>392</v>
      </c>
      <c r="D793" s="242" t="s">
        <v>709</v>
      </c>
      <c r="E793" s="242" t="s">
        <v>1328</v>
      </c>
      <c r="F793" s="243">
        <v>50000</v>
      </c>
      <c r="G793" s="243">
        <v>50000</v>
      </c>
      <c r="H793" s="243">
        <f t="shared" si="26"/>
        <v>100</v>
      </c>
      <c r="I793" s="123" t="str">
        <f t="shared" si="25"/>
        <v>08010510041000600</v>
      </c>
    </row>
    <row r="794" spans="1:9">
      <c r="A794" s="241" t="s">
        <v>1198</v>
      </c>
      <c r="B794" s="242" t="s">
        <v>230</v>
      </c>
      <c r="C794" s="242" t="s">
        <v>392</v>
      </c>
      <c r="D794" s="242" t="s">
        <v>709</v>
      </c>
      <c r="E794" s="242" t="s">
        <v>1199</v>
      </c>
      <c r="F794" s="243">
        <v>50000</v>
      </c>
      <c r="G794" s="243">
        <v>50000</v>
      </c>
      <c r="H794" s="243">
        <f t="shared" si="26"/>
        <v>100</v>
      </c>
      <c r="I794" s="123" t="str">
        <f t="shared" si="25"/>
        <v>08010510041000610</v>
      </c>
    </row>
    <row r="795" spans="1:9" ht="51">
      <c r="A795" s="241" t="s">
        <v>347</v>
      </c>
      <c r="B795" s="242" t="s">
        <v>230</v>
      </c>
      <c r="C795" s="242" t="s">
        <v>392</v>
      </c>
      <c r="D795" s="242" t="s">
        <v>709</v>
      </c>
      <c r="E795" s="242" t="s">
        <v>348</v>
      </c>
      <c r="F795" s="243">
        <v>50000</v>
      </c>
      <c r="G795" s="243">
        <v>50000</v>
      </c>
      <c r="H795" s="243">
        <f t="shared" si="26"/>
        <v>100</v>
      </c>
      <c r="I795" s="123" t="str">
        <f t="shared" si="25"/>
        <v>08010510041000611</v>
      </c>
    </row>
    <row r="796" spans="1:9" ht="89.25">
      <c r="A796" s="241" t="s">
        <v>1826</v>
      </c>
      <c r="B796" s="242" t="s">
        <v>230</v>
      </c>
      <c r="C796" s="242" t="s">
        <v>392</v>
      </c>
      <c r="D796" s="242" t="s">
        <v>1827</v>
      </c>
      <c r="E796" s="242"/>
      <c r="F796" s="243">
        <v>72747</v>
      </c>
      <c r="G796" s="243">
        <v>72747</v>
      </c>
      <c r="H796" s="243">
        <f t="shared" si="26"/>
        <v>100</v>
      </c>
      <c r="I796" s="123" t="str">
        <f t="shared" si="25"/>
        <v>08010510045000</v>
      </c>
    </row>
    <row r="797" spans="1:9" ht="25.5">
      <c r="A797" s="241" t="s">
        <v>1327</v>
      </c>
      <c r="B797" s="242" t="s">
        <v>230</v>
      </c>
      <c r="C797" s="242" t="s">
        <v>392</v>
      </c>
      <c r="D797" s="242" t="s">
        <v>1827</v>
      </c>
      <c r="E797" s="242" t="s">
        <v>1328</v>
      </c>
      <c r="F797" s="243">
        <v>72747</v>
      </c>
      <c r="G797" s="243">
        <v>72747</v>
      </c>
      <c r="H797" s="243">
        <f t="shared" si="26"/>
        <v>100</v>
      </c>
      <c r="I797" s="123" t="str">
        <f t="shared" si="25"/>
        <v>08010510045000600</v>
      </c>
    </row>
    <row r="798" spans="1:9">
      <c r="A798" s="241" t="s">
        <v>1198</v>
      </c>
      <c r="B798" s="242" t="s">
        <v>230</v>
      </c>
      <c r="C798" s="242" t="s">
        <v>392</v>
      </c>
      <c r="D798" s="242" t="s">
        <v>1827</v>
      </c>
      <c r="E798" s="242" t="s">
        <v>1199</v>
      </c>
      <c r="F798" s="243">
        <v>72747</v>
      </c>
      <c r="G798" s="243">
        <v>72747</v>
      </c>
      <c r="H798" s="243">
        <f t="shared" si="26"/>
        <v>100</v>
      </c>
      <c r="I798" s="123" t="str">
        <f t="shared" si="25"/>
        <v>08010510045000610</v>
      </c>
    </row>
    <row r="799" spans="1:9" ht="51">
      <c r="A799" s="241" t="s">
        <v>347</v>
      </c>
      <c r="B799" s="242" t="s">
        <v>230</v>
      </c>
      <c r="C799" s="242" t="s">
        <v>392</v>
      </c>
      <c r="D799" s="242" t="s">
        <v>1827</v>
      </c>
      <c r="E799" s="242" t="s">
        <v>348</v>
      </c>
      <c r="F799" s="243">
        <v>72747</v>
      </c>
      <c r="G799" s="243">
        <v>72747</v>
      </c>
      <c r="H799" s="243">
        <f t="shared" si="26"/>
        <v>100</v>
      </c>
      <c r="I799" s="123" t="str">
        <f t="shared" si="25"/>
        <v>08010510045000611</v>
      </c>
    </row>
    <row r="800" spans="1:9" ht="76.5">
      <c r="A800" s="241" t="s">
        <v>513</v>
      </c>
      <c r="B800" s="242" t="s">
        <v>230</v>
      </c>
      <c r="C800" s="242" t="s">
        <v>392</v>
      </c>
      <c r="D800" s="242" t="s">
        <v>710</v>
      </c>
      <c r="E800" s="242"/>
      <c r="F800" s="243">
        <v>179907.3</v>
      </c>
      <c r="G800" s="243">
        <v>179907.3</v>
      </c>
      <c r="H800" s="243">
        <f t="shared" si="26"/>
        <v>100</v>
      </c>
      <c r="I800" s="123" t="str">
        <f t="shared" si="25"/>
        <v>08010510047000</v>
      </c>
    </row>
    <row r="801" spans="1:9" ht="25.5">
      <c r="A801" s="241" t="s">
        <v>1327</v>
      </c>
      <c r="B801" s="242" t="s">
        <v>230</v>
      </c>
      <c r="C801" s="242" t="s">
        <v>392</v>
      </c>
      <c r="D801" s="242" t="s">
        <v>710</v>
      </c>
      <c r="E801" s="242" t="s">
        <v>1328</v>
      </c>
      <c r="F801" s="243">
        <v>179907.3</v>
      </c>
      <c r="G801" s="243">
        <v>179907.3</v>
      </c>
      <c r="H801" s="243">
        <f t="shared" si="26"/>
        <v>100</v>
      </c>
      <c r="I801" s="123" t="str">
        <f t="shared" si="25"/>
        <v>08010510047000600</v>
      </c>
    </row>
    <row r="802" spans="1:9">
      <c r="A802" s="241" t="s">
        <v>1198</v>
      </c>
      <c r="B802" s="242" t="s">
        <v>230</v>
      </c>
      <c r="C802" s="242" t="s">
        <v>392</v>
      </c>
      <c r="D802" s="242" t="s">
        <v>710</v>
      </c>
      <c r="E802" s="242" t="s">
        <v>1199</v>
      </c>
      <c r="F802" s="243">
        <v>179907.3</v>
      </c>
      <c r="G802" s="243">
        <v>179907.3</v>
      </c>
      <c r="H802" s="243">
        <f t="shared" si="26"/>
        <v>100</v>
      </c>
      <c r="I802" s="123" t="str">
        <f t="shared" si="25"/>
        <v>08010510047000610</v>
      </c>
    </row>
    <row r="803" spans="1:9">
      <c r="A803" s="241" t="s">
        <v>366</v>
      </c>
      <c r="B803" s="242" t="s">
        <v>230</v>
      </c>
      <c r="C803" s="242" t="s">
        <v>392</v>
      </c>
      <c r="D803" s="242" t="s">
        <v>710</v>
      </c>
      <c r="E803" s="242" t="s">
        <v>367</v>
      </c>
      <c r="F803" s="243">
        <v>179907.3</v>
      </c>
      <c r="G803" s="243">
        <v>179907.3</v>
      </c>
      <c r="H803" s="243">
        <f t="shared" si="26"/>
        <v>100</v>
      </c>
      <c r="I803" s="123" t="str">
        <f t="shared" si="25"/>
        <v>08010510047000612</v>
      </c>
    </row>
    <row r="804" spans="1:9" ht="89.25">
      <c r="A804" s="241" t="s">
        <v>568</v>
      </c>
      <c r="B804" s="242" t="s">
        <v>230</v>
      </c>
      <c r="C804" s="242" t="s">
        <v>392</v>
      </c>
      <c r="D804" s="242" t="s">
        <v>711</v>
      </c>
      <c r="E804" s="242"/>
      <c r="F804" s="243">
        <v>3800000</v>
      </c>
      <c r="G804" s="243">
        <v>3454032.37</v>
      </c>
      <c r="H804" s="243">
        <f t="shared" si="26"/>
        <v>90.895588684210523</v>
      </c>
      <c r="I804" s="123" t="str">
        <f t="shared" si="25"/>
        <v>0801051004Г000</v>
      </c>
    </row>
    <row r="805" spans="1:9" ht="25.5">
      <c r="A805" s="241" t="s">
        <v>1327</v>
      </c>
      <c r="B805" s="242" t="s">
        <v>230</v>
      </c>
      <c r="C805" s="242" t="s">
        <v>392</v>
      </c>
      <c r="D805" s="242" t="s">
        <v>711</v>
      </c>
      <c r="E805" s="242" t="s">
        <v>1328</v>
      </c>
      <c r="F805" s="243">
        <v>3800000</v>
      </c>
      <c r="G805" s="243">
        <v>3454032.37</v>
      </c>
      <c r="H805" s="243">
        <f t="shared" si="26"/>
        <v>90.895588684210523</v>
      </c>
      <c r="I805" s="123" t="str">
        <f t="shared" si="25"/>
        <v>0801051004Г000600</v>
      </c>
    </row>
    <row r="806" spans="1:9">
      <c r="A806" s="241" t="s">
        <v>1198</v>
      </c>
      <c r="B806" s="242" t="s">
        <v>230</v>
      </c>
      <c r="C806" s="242" t="s">
        <v>392</v>
      </c>
      <c r="D806" s="242" t="s">
        <v>711</v>
      </c>
      <c r="E806" s="242" t="s">
        <v>1199</v>
      </c>
      <c r="F806" s="243">
        <v>3800000</v>
      </c>
      <c r="G806" s="243">
        <v>3454032.37</v>
      </c>
      <c r="H806" s="243">
        <f t="shared" si="26"/>
        <v>90.895588684210523</v>
      </c>
      <c r="I806" s="123" t="str">
        <f t="shared" si="25"/>
        <v>0801051004Г000610</v>
      </c>
    </row>
    <row r="807" spans="1:9" ht="51">
      <c r="A807" s="241" t="s">
        <v>347</v>
      </c>
      <c r="B807" s="242" t="s">
        <v>230</v>
      </c>
      <c r="C807" s="242" t="s">
        <v>392</v>
      </c>
      <c r="D807" s="242" t="s">
        <v>711</v>
      </c>
      <c r="E807" s="242" t="s">
        <v>348</v>
      </c>
      <c r="F807" s="243">
        <v>3800000</v>
      </c>
      <c r="G807" s="243">
        <v>3454032.37</v>
      </c>
      <c r="H807" s="243">
        <f t="shared" si="26"/>
        <v>90.895588684210523</v>
      </c>
      <c r="I807" s="123" t="str">
        <f t="shared" ref="I807:I870" si="27">CONCATENATE(C807,D807,E807)</f>
        <v>0801051004Г000611</v>
      </c>
    </row>
    <row r="808" spans="1:9" ht="51">
      <c r="A808" s="241" t="s">
        <v>1631</v>
      </c>
      <c r="B808" s="242" t="s">
        <v>230</v>
      </c>
      <c r="C808" s="242" t="s">
        <v>392</v>
      </c>
      <c r="D808" s="242" t="s">
        <v>1632</v>
      </c>
      <c r="E808" s="242"/>
      <c r="F808" s="243">
        <v>35200</v>
      </c>
      <c r="G808" s="243">
        <v>35200</v>
      </c>
      <c r="H808" s="243">
        <f t="shared" si="26"/>
        <v>100</v>
      </c>
      <c r="I808" s="123" t="str">
        <f t="shared" si="27"/>
        <v>0801051004М000</v>
      </c>
    </row>
    <row r="809" spans="1:9" ht="25.5">
      <c r="A809" s="241" t="s">
        <v>1327</v>
      </c>
      <c r="B809" s="242" t="s">
        <v>230</v>
      </c>
      <c r="C809" s="242" t="s">
        <v>392</v>
      </c>
      <c r="D809" s="242" t="s">
        <v>1632</v>
      </c>
      <c r="E809" s="242" t="s">
        <v>1328</v>
      </c>
      <c r="F809" s="243">
        <v>35200</v>
      </c>
      <c r="G809" s="243">
        <v>35200</v>
      </c>
      <c r="H809" s="243">
        <f t="shared" si="26"/>
        <v>100</v>
      </c>
      <c r="I809" s="123" t="str">
        <f t="shared" si="27"/>
        <v>0801051004М000600</v>
      </c>
    </row>
    <row r="810" spans="1:9">
      <c r="A810" s="241" t="s">
        <v>1198</v>
      </c>
      <c r="B810" s="242" t="s">
        <v>230</v>
      </c>
      <c r="C810" s="242" t="s">
        <v>392</v>
      </c>
      <c r="D810" s="242" t="s">
        <v>1632</v>
      </c>
      <c r="E810" s="242" t="s">
        <v>1199</v>
      </c>
      <c r="F810" s="243">
        <v>35200</v>
      </c>
      <c r="G810" s="243">
        <v>35200</v>
      </c>
      <c r="H810" s="243">
        <f t="shared" si="26"/>
        <v>100</v>
      </c>
      <c r="I810" s="123" t="str">
        <f t="shared" si="27"/>
        <v>0801051004М000610</v>
      </c>
    </row>
    <row r="811" spans="1:9" ht="51">
      <c r="A811" s="241" t="s">
        <v>347</v>
      </c>
      <c r="B811" s="242" t="s">
        <v>230</v>
      </c>
      <c r="C811" s="242" t="s">
        <v>392</v>
      </c>
      <c r="D811" s="242" t="s">
        <v>1632</v>
      </c>
      <c r="E811" s="242" t="s">
        <v>348</v>
      </c>
      <c r="F811" s="243">
        <v>35200</v>
      </c>
      <c r="G811" s="243">
        <v>35200</v>
      </c>
      <c r="H811" s="243">
        <f t="shared" si="26"/>
        <v>100</v>
      </c>
      <c r="I811" s="123" t="str">
        <f t="shared" si="27"/>
        <v>0801051004М000611</v>
      </c>
    </row>
    <row r="812" spans="1:9" ht="76.5">
      <c r="A812" s="241" t="s">
        <v>958</v>
      </c>
      <c r="B812" s="242" t="s">
        <v>230</v>
      </c>
      <c r="C812" s="242" t="s">
        <v>392</v>
      </c>
      <c r="D812" s="242" t="s">
        <v>959</v>
      </c>
      <c r="E812" s="242"/>
      <c r="F812" s="243">
        <v>1131000</v>
      </c>
      <c r="G812" s="243">
        <v>1029404.23</v>
      </c>
      <c r="H812" s="243">
        <f t="shared" si="26"/>
        <v>91.017173297966409</v>
      </c>
      <c r="I812" s="123" t="str">
        <f t="shared" si="27"/>
        <v>0801051004Э000</v>
      </c>
    </row>
    <row r="813" spans="1:9" ht="25.5">
      <c r="A813" s="241" t="s">
        <v>1327</v>
      </c>
      <c r="B813" s="242" t="s">
        <v>230</v>
      </c>
      <c r="C813" s="242" t="s">
        <v>392</v>
      </c>
      <c r="D813" s="242" t="s">
        <v>959</v>
      </c>
      <c r="E813" s="242" t="s">
        <v>1328</v>
      </c>
      <c r="F813" s="243">
        <v>1131000</v>
      </c>
      <c r="G813" s="243">
        <v>1029404.23</v>
      </c>
      <c r="H813" s="243">
        <f t="shared" si="26"/>
        <v>91.017173297966409</v>
      </c>
      <c r="I813" s="123" t="str">
        <f t="shared" si="27"/>
        <v>0801051004Э000600</v>
      </c>
    </row>
    <row r="814" spans="1:9">
      <c r="A814" s="241" t="s">
        <v>1198</v>
      </c>
      <c r="B814" s="242" t="s">
        <v>230</v>
      </c>
      <c r="C814" s="242" t="s">
        <v>392</v>
      </c>
      <c r="D814" s="242" t="s">
        <v>959</v>
      </c>
      <c r="E814" s="242" t="s">
        <v>1199</v>
      </c>
      <c r="F814" s="243">
        <v>1131000</v>
      </c>
      <c r="G814" s="243">
        <v>1029404.23</v>
      </c>
      <c r="H814" s="243">
        <f t="shared" si="26"/>
        <v>91.017173297966409</v>
      </c>
      <c r="I814" s="123" t="str">
        <f t="shared" si="27"/>
        <v>0801051004Э000610</v>
      </c>
    </row>
    <row r="815" spans="1:9" ht="51">
      <c r="A815" s="241" t="s">
        <v>347</v>
      </c>
      <c r="B815" s="242" t="s">
        <v>230</v>
      </c>
      <c r="C815" s="242" t="s">
        <v>392</v>
      </c>
      <c r="D815" s="242" t="s">
        <v>959</v>
      </c>
      <c r="E815" s="242" t="s">
        <v>348</v>
      </c>
      <c r="F815" s="243">
        <v>1131000</v>
      </c>
      <c r="G815" s="243">
        <v>1029404.23</v>
      </c>
      <c r="H815" s="243">
        <f t="shared" si="26"/>
        <v>91.017173297966409</v>
      </c>
      <c r="I815" s="123" t="str">
        <f t="shared" si="27"/>
        <v>0801051004Э000611</v>
      </c>
    </row>
    <row r="816" spans="1:9" ht="51">
      <c r="A816" s="241" t="s">
        <v>401</v>
      </c>
      <c r="B816" s="242" t="s">
        <v>230</v>
      </c>
      <c r="C816" s="242" t="s">
        <v>392</v>
      </c>
      <c r="D816" s="242" t="s">
        <v>718</v>
      </c>
      <c r="E816" s="242"/>
      <c r="F816" s="243">
        <v>150000</v>
      </c>
      <c r="G816" s="243">
        <v>150000</v>
      </c>
      <c r="H816" s="243">
        <f t="shared" si="26"/>
        <v>100</v>
      </c>
      <c r="I816" s="123" t="str">
        <f t="shared" si="27"/>
        <v>08010510080530</v>
      </c>
    </row>
    <row r="817" spans="1:9" ht="25.5">
      <c r="A817" s="241" t="s">
        <v>1327</v>
      </c>
      <c r="B817" s="242" t="s">
        <v>230</v>
      </c>
      <c r="C817" s="242" t="s">
        <v>392</v>
      </c>
      <c r="D817" s="242" t="s">
        <v>718</v>
      </c>
      <c r="E817" s="242" t="s">
        <v>1328</v>
      </c>
      <c r="F817" s="243">
        <v>150000</v>
      </c>
      <c r="G817" s="243">
        <v>150000</v>
      </c>
      <c r="H817" s="243">
        <f t="shared" si="26"/>
        <v>100</v>
      </c>
      <c r="I817" s="123" t="str">
        <f t="shared" si="27"/>
        <v>08010510080530600</v>
      </c>
    </row>
    <row r="818" spans="1:9">
      <c r="A818" s="241" t="s">
        <v>1198</v>
      </c>
      <c r="B818" s="242" t="s">
        <v>230</v>
      </c>
      <c r="C818" s="242" t="s">
        <v>392</v>
      </c>
      <c r="D818" s="242" t="s">
        <v>718</v>
      </c>
      <c r="E818" s="242" t="s">
        <v>1199</v>
      </c>
      <c r="F818" s="243">
        <v>150000</v>
      </c>
      <c r="G818" s="243">
        <v>150000</v>
      </c>
      <c r="H818" s="243">
        <f t="shared" si="26"/>
        <v>100</v>
      </c>
      <c r="I818" s="123" t="str">
        <f t="shared" si="27"/>
        <v>08010510080530610</v>
      </c>
    </row>
    <row r="819" spans="1:9">
      <c r="A819" s="241" t="s">
        <v>366</v>
      </c>
      <c r="B819" s="242" t="s">
        <v>230</v>
      </c>
      <c r="C819" s="242" t="s">
        <v>392</v>
      </c>
      <c r="D819" s="242" t="s">
        <v>718</v>
      </c>
      <c r="E819" s="242" t="s">
        <v>367</v>
      </c>
      <c r="F819" s="243">
        <v>150000</v>
      </c>
      <c r="G819" s="243">
        <v>150000</v>
      </c>
      <c r="H819" s="243">
        <f t="shared" si="26"/>
        <v>100</v>
      </c>
      <c r="I819" s="123" t="str">
        <f t="shared" si="27"/>
        <v>08010510080530612</v>
      </c>
    </row>
    <row r="820" spans="1:9" ht="63.75">
      <c r="A820" s="241" t="s">
        <v>2066</v>
      </c>
      <c r="B820" s="242" t="s">
        <v>230</v>
      </c>
      <c r="C820" s="242" t="s">
        <v>392</v>
      </c>
      <c r="D820" s="242" t="s">
        <v>2067</v>
      </c>
      <c r="E820" s="242"/>
      <c r="F820" s="243">
        <v>342425</v>
      </c>
      <c r="G820" s="243">
        <v>342425</v>
      </c>
      <c r="H820" s="243">
        <f t="shared" si="26"/>
        <v>100</v>
      </c>
      <c r="I820" s="123" t="str">
        <f t="shared" si="27"/>
        <v>080105100L5191</v>
      </c>
    </row>
    <row r="821" spans="1:9" ht="25.5">
      <c r="A821" s="241" t="s">
        <v>1327</v>
      </c>
      <c r="B821" s="242" t="s">
        <v>230</v>
      </c>
      <c r="C821" s="242" t="s">
        <v>392</v>
      </c>
      <c r="D821" s="242" t="s">
        <v>2067</v>
      </c>
      <c r="E821" s="242" t="s">
        <v>1328</v>
      </c>
      <c r="F821" s="243">
        <v>342425</v>
      </c>
      <c r="G821" s="243">
        <v>342425</v>
      </c>
      <c r="H821" s="243">
        <f t="shared" si="26"/>
        <v>100</v>
      </c>
      <c r="I821" s="123" t="str">
        <f t="shared" si="27"/>
        <v>080105100L5191600</v>
      </c>
    </row>
    <row r="822" spans="1:9">
      <c r="A822" s="241" t="s">
        <v>1198</v>
      </c>
      <c r="B822" s="242" t="s">
        <v>230</v>
      </c>
      <c r="C822" s="242" t="s">
        <v>392</v>
      </c>
      <c r="D822" s="242" t="s">
        <v>2067</v>
      </c>
      <c r="E822" s="242" t="s">
        <v>1199</v>
      </c>
      <c r="F822" s="243">
        <v>342425</v>
      </c>
      <c r="G822" s="243">
        <v>342425</v>
      </c>
      <c r="H822" s="243">
        <f t="shared" si="26"/>
        <v>100</v>
      </c>
      <c r="I822" s="123" t="str">
        <f t="shared" si="27"/>
        <v>080105100L5191610</v>
      </c>
    </row>
    <row r="823" spans="1:9">
      <c r="A823" s="241" t="s">
        <v>366</v>
      </c>
      <c r="B823" s="242" t="s">
        <v>230</v>
      </c>
      <c r="C823" s="242" t="s">
        <v>392</v>
      </c>
      <c r="D823" s="242" t="s">
        <v>2067</v>
      </c>
      <c r="E823" s="242" t="s">
        <v>367</v>
      </c>
      <c r="F823" s="243">
        <v>342425</v>
      </c>
      <c r="G823" s="243">
        <v>342425</v>
      </c>
      <c r="H823" s="243">
        <f t="shared" si="26"/>
        <v>100</v>
      </c>
      <c r="I823" s="123" t="str">
        <f t="shared" si="27"/>
        <v>080105100L5191612</v>
      </c>
    </row>
    <row r="824" spans="1:9" ht="38.25">
      <c r="A824" s="241" t="s">
        <v>1502</v>
      </c>
      <c r="B824" s="242" t="s">
        <v>230</v>
      </c>
      <c r="C824" s="242" t="s">
        <v>392</v>
      </c>
      <c r="D824" s="242" t="s">
        <v>712</v>
      </c>
      <c r="E824" s="242"/>
      <c r="F824" s="243">
        <v>438949</v>
      </c>
      <c r="G824" s="243">
        <v>438875</v>
      </c>
      <c r="H824" s="243">
        <f t="shared" si="26"/>
        <v>99.983141549473856</v>
      </c>
      <c r="I824" s="123" t="str">
        <f t="shared" si="27"/>
        <v>080105100S4880</v>
      </c>
    </row>
    <row r="825" spans="1:9" ht="25.5">
      <c r="A825" s="241" t="s">
        <v>1327</v>
      </c>
      <c r="B825" s="242" t="s">
        <v>230</v>
      </c>
      <c r="C825" s="242" t="s">
        <v>392</v>
      </c>
      <c r="D825" s="242" t="s">
        <v>712</v>
      </c>
      <c r="E825" s="242" t="s">
        <v>1328</v>
      </c>
      <c r="F825" s="243">
        <v>438949</v>
      </c>
      <c r="G825" s="243">
        <v>438875</v>
      </c>
      <c r="H825" s="243">
        <f t="shared" si="26"/>
        <v>99.983141549473856</v>
      </c>
      <c r="I825" s="123" t="str">
        <f t="shared" si="27"/>
        <v>080105100S4880600</v>
      </c>
    </row>
    <row r="826" spans="1:9">
      <c r="A826" s="241" t="s">
        <v>1198</v>
      </c>
      <c r="B826" s="242" t="s">
        <v>230</v>
      </c>
      <c r="C826" s="242" t="s">
        <v>392</v>
      </c>
      <c r="D826" s="242" t="s">
        <v>712</v>
      </c>
      <c r="E826" s="242" t="s">
        <v>1199</v>
      </c>
      <c r="F826" s="243">
        <v>438949</v>
      </c>
      <c r="G826" s="243">
        <v>438875</v>
      </c>
      <c r="H826" s="243">
        <f t="shared" si="26"/>
        <v>99.983141549473856</v>
      </c>
      <c r="I826" s="123" t="str">
        <f t="shared" si="27"/>
        <v>080105100S4880610</v>
      </c>
    </row>
    <row r="827" spans="1:9">
      <c r="A827" s="241" t="s">
        <v>366</v>
      </c>
      <c r="B827" s="242" t="s">
        <v>230</v>
      </c>
      <c r="C827" s="242" t="s">
        <v>392</v>
      </c>
      <c r="D827" s="242" t="s">
        <v>712</v>
      </c>
      <c r="E827" s="242" t="s">
        <v>367</v>
      </c>
      <c r="F827" s="243">
        <v>438949</v>
      </c>
      <c r="G827" s="243">
        <v>438875</v>
      </c>
      <c r="H827" s="243">
        <f t="shared" si="26"/>
        <v>99.983141549473856</v>
      </c>
      <c r="I827" s="123" t="str">
        <f t="shared" si="27"/>
        <v>080105100S4880612</v>
      </c>
    </row>
    <row r="828" spans="1:9">
      <c r="A828" s="241" t="s">
        <v>594</v>
      </c>
      <c r="B828" s="242" t="s">
        <v>230</v>
      </c>
      <c r="C828" s="242" t="s">
        <v>392</v>
      </c>
      <c r="D828" s="242" t="s">
        <v>983</v>
      </c>
      <c r="E828" s="242"/>
      <c r="F828" s="243">
        <v>109261007.56</v>
      </c>
      <c r="G828" s="243">
        <v>105784013.8</v>
      </c>
      <c r="H828" s="243">
        <f t="shared" si="26"/>
        <v>96.817717649097617</v>
      </c>
      <c r="I828" s="123" t="str">
        <f t="shared" si="27"/>
        <v>08010520000000</v>
      </c>
    </row>
    <row r="829" spans="1:9" ht="76.5">
      <c r="A829" s="241" t="s">
        <v>2068</v>
      </c>
      <c r="B829" s="242" t="s">
        <v>230</v>
      </c>
      <c r="C829" s="242" t="s">
        <v>392</v>
      </c>
      <c r="D829" s="242" t="s">
        <v>2069</v>
      </c>
      <c r="E829" s="242"/>
      <c r="F829" s="243">
        <v>8214318</v>
      </c>
      <c r="G829" s="243">
        <v>8214318</v>
      </c>
      <c r="H829" s="243">
        <f t="shared" si="26"/>
        <v>100</v>
      </c>
      <c r="I829" s="123" t="str">
        <f t="shared" si="27"/>
        <v>08010520027240</v>
      </c>
    </row>
    <row r="830" spans="1:9" ht="25.5">
      <c r="A830" s="241" t="s">
        <v>1327</v>
      </c>
      <c r="B830" s="242" t="s">
        <v>230</v>
      </c>
      <c r="C830" s="242" t="s">
        <v>392</v>
      </c>
      <c r="D830" s="242" t="s">
        <v>2069</v>
      </c>
      <c r="E830" s="242" t="s">
        <v>1328</v>
      </c>
      <c r="F830" s="243">
        <v>8214318</v>
      </c>
      <c r="G830" s="243">
        <v>8214318</v>
      </c>
      <c r="H830" s="243">
        <f t="shared" si="26"/>
        <v>100</v>
      </c>
      <c r="I830" s="123" t="str">
        <f t="shared" si="27"/>
        <v>08010520027240600</v>
      </c>
    </row>
    <row r="831" spans="1:9">
      <c r="A831" s="241" t="s">
        <v>1198</v>
      </c>
      <c r="B831" s="242" t="s">
        <v>230</v>
      </c>
      <c r="C831" s="242" t="s">
        <v>392</v>
      </c>
      <c r="D831" s="242" t="s">
        <v>2069</v>
      </c>
      <c r="E831" s="242" t="s">
        <v>1199</v>
      </c>
      <c r="F831" s="243">
        <v>8214318</v>
      </c>
      <c r="G831" s="243">
        <v>8214318</v>
      </c>
      <c r="H831" s="243">
        <f t="shared" si="26"/>
        <v>100</v>
      </c>
      <c r="I831" s="123" t="str">
        <f t="shared" si="27"/>
        <v>08010520027240610</v>
      </c>
    </row>
    <row r="832" spans="1:9" ht="51">
      <c r="A832" s="241" t="s">
        <v>347</v>
      </c>
      <c r="B832" s="242" t="s">
        <v>230</v>
      </c>
      <c r="C832" s="242" t="s">
        <v>392</v>
      </c>
      <c r="D832" s="242" t="s">
        <v>2069</v>
      </c>
      <c r="E832" s="242" t="s">
        <v>348</v>
      </c>
      <c r="F832" s="243">
        <v>8214318</v>
      </c>
      <c r="G832" s="243">
        <v>8214318</v>
      </c>
      <c r="H832" s="243">
        <f t="shared" si="26"/>
        <v>100</v>
      </c>
      <c r="I832" s="123" t="str">
        <f t="shared" si="27"/>
        <v>08010520027240611</v>
      </c>
    </row>
    <row r="833" spans="1:9" ht="76.5">
      <c r="A833" s="241" t="s">
        <v>2070</v>
      </c>
      <c r="B833" s="242" t="s">
        <v>230</v>
      </c>
      <c r="C833" s="242" t="s">
        <v>392</v>
      </c>
      <c r="D833" s="242" t="s">
        <v>2071</v>
      </c>
      <c r="E833" s="242"/>
      <c r="F833" s="243">
        <v>2766696</v>
      </c>
      <c r="G833" s="243">
        <v>2766696</v>
      </c>
      <c r="H833" s="243">
        <f t="shared" si="26"/>
        <v>100</v>
      </c>
      <c r="I833" s="123" t="str">
        <f t="shared" si="27"/>
        <v>08010520027242</v>
      </c>
    </row>
    <row r="834" spans="1:9" ht="25.5">
      <c r="A834" s="241" t="s">
        <v>1327</v>
      </c>
      <c r="B834" s="242" t="s">
        <v>230</v>
      </c>
      <c r="C834" s="242" t="s">
        <v>392</v>
      </c>
      <c r="D834" s="242" t="s">
        <v>2071</v>
      </c>
      <c r="E834" s="242" t="s">
        <v>1328</v>
      </c>
      <c r="F834" s="243">
        <v>2766696</v>
      </c>
      <c r="G834" s="243">
        <v>2766696</v>
      </c>
      <c r="H834" s="243">
        <f t="shared" si="26"/>
        <v>100</v>
      </c>
      <c r="I834" s="123" t="str">
        <f t="shared" si="27"/>
        <v>08010520027242600</v>
      </c>
    </row>
    <row r="835" spans="1:9">
      <c r="A835" s="241" t="s">
        <v>1198</v>
      </c>
      <c r="B835" s="242" t="s">
        <v>230</v>
      </c>
      <c r="C835" s="242" t="s">
        <v>392</v>
      </c>
      <c r="D835" s="242" t="s">
        <v>2071</v>
      </c>
      <c r="E835" s="242" t="s">
        <v>1199</v>
      </c>
      <c r="F835" s="243">
        <v>2766696</v>
      </c>
      <c r="G835" s="243">
        <v>2766696</v>
      </c>
      <c r="H835" s="243">
        <f t="shared" si="26"/>
        <v>100</v>
      </c>
      <c r="I835" s="123" t="str">
        <f t="shared" si="27"/>
        <v>08010520027242610</v>
      </c>
    </row>
    <row r="836" spans="1:9" ht="51">
      <c r="A836" s="241" t="s">
        <v>347</v>
      </c>
      <c r="B836" s="242" t="s">
        <v>230</v>
      </c>
      <c r="C836" s="242" t="s">
        <v>392</v>
      </c>
      <c r="D836" s="242" t="s">
        <v>2071</v>
      </c>
      <c r="E836" s="242" t="s">
        <v>348</v>
      </c>
      <c r="F836" s="243">
        <v>2766696</v>
      </c>
      <c r="G836" s="243">
        <v>2766696</v>
      </c>
      <c r="H836" s="243">
        <f t="shared" si="26"/>
        <v>100</v>
      </c>
      <c r="I836" s="123" t="str">
        <f t="shared" si="27"/>
        <v>08010520027242611</v>
      </c>
    </row>
    <row r="837" spans="1:9" ht="89.25">
      <c r="A837" s="241" t="s">
        <v>516</v>
      </c>
      <c r="B837" s="242" t="s">
        <v>230</v>
      </c>
      <c r="C837" s="242" t="s">
        <v>392</v>
      </c>
      <c r="D837" s="242" t="s">
        <v>720</v>
      </c>
      <c r="E837" s="242"/>
      <c r="F837" s="243">
        <v>69792273</v>
      </c>
      <c r="G837" s="243">
        <v>69138000</v>
      </c>
      <c r="H837" s="243">
        <f t="shared" si="26"/>
        <v>99.062542353363398</v>
      </c>
      <c r="I837" s="123" t="str">
        <f t="shared" si="27"/>
        <v>08010520040000</v>
      </c>
    </row>
    <row r="838" spans="1:9" ht="25.5">
      <c r="A838" s="241" t="s">
        <v>1327</v>
      </c>
      <c r="B838" s="242" t="s">
        <v>230</v>
      </c>
      <c r="C838" s="242" t="s">
        <v>392</v>
      </c>
      <c r="D838" s="242" t="s">
        <v>720</v>
      </c>
      <c r="E838" s="242" t="s">
        <v>1328</v>
      </c>
      <c r="F838" s="243">
        <v>69792273</v>
      </c>
      <c r="G838" s="243">
        <v>69138000</v>
      </c>
      <c r="H838" s="243">
        <f t="shared" ref="H838:H901" si="28">G838/F838*100</f>
        <v>99.062542353363398</v>
      </c>
      <c r="I838" s="123" t="str">
        <f t="shared" si="27"/>
        <v>08010520040000600</v>
      </c>
    </row>
    <row r="839" spans="1:9">
      <c r="A839" s="241" t="s">
        <v>1198</v>
      </c>
      <c r="B839" s="242" t="s">
        <v>230</v>
      </c>
      <c r="C839" s="242" t="s">
        <v>392</v>
      </c>
      <c r="D839" s="242" t="s">
        <v>720</v>
      </c>
      <c r="E839" s="242" t="s">
        <v>1199</v>
      </c>
      <c r="F839" s="243">
        <v>69792273</v>
      </c>
      <c r="G839" s="243">
        <v>69138000</v>
      </c>
      <c r="H839" s="243">
        <f t="shared" si="28"/>
        <v>99.062542353363398</v>
      </c>
      <c r="I839" s="123" t="str">
        <f t="shared" si="27"/>
        <v>08010520040000610</v>
      </c>
    </row>
    <row r="840" spans="1:9" ht="51">
      <c r="A840" s="241" t="s">
        <v>347</v>
      </c>
      <c r="B840" s="242" t="s">
        <v>230</v>
      </c>
      <c r="C840" s="242" t="s">
        <v>392</v>
      </c>
      <c r="D840" s="242" t="s">
        <v>720</v>
      </c>
      <c r="E840" s="242" t="s">
        <v>348</v>
      </c>
      <c r="F840" s="243">
        <v>69792273</v>
      </c>
      <c r="G840" s="243">
        <v>69138000</v>
      </c>
      <c r="H840" s="243">
        <f t="shared" si="28"/>
        <v>99.062542353363398</v>
      </c>
      <c r="I840" s="123" t="str">
        <f t="shared" si="27"/>
        <v>08010520040000611</v>
      </c>
    </row>
    <row r="841" spans="1:9" ht="114.75">
      <c r="A841" s="241" t="s">
        <v>517</v>
      </c>
      <c r="B841" s="242" t="s">
        <v>230</v>
      </c>
      <c r="C841" s="242" t="s">
        <v>392</v>
      </c>
      <c r="D841" s="242" t="s">
        <v>721</v>
      </c>
      <c r="E841" s="242"/>
      <c r="F841" s="243">
        <v>245000</v>
      </c>
      <c r="G841" s="243">
        <v>245000</v>
      </c>
      <c r="H841" s="243">
        <f t="shared" si="28"/>
        <v>100</v>
      </c>
      <c r="I841" s="123" t="str">
        <f t="shared" si="27"/>
        <v>08010520041000</v>
      </c>
    </row>
    <row r="842" spans="1:9" ht="25.5">
      <c r="A842" s="241" t="s">
        <v>1327</v>
      </c>
      <c r="B842" s="242" t="s">
        <v>230</v>
      </c>
      <c r="C842" s="242" t="s">
        <v>392</v>
      </c>
      <c r="D842" s="242" t="s">
        <v>721</v>
      </c>
      <c r="E842" s="242" t="s">
        <v>1328</v>
      </c>
      <c r="F842" s="243">
        <v>245000</v>
      </c>
      <c r="G842" s="243">
        <v>245000</v>
      </c>
      <c r="H842" s="243">
        <f t="shared" si="28"/>
        <v>100</v>
      </c>
      <c r="I842" s="123" t="str">
        <f t="shared" si="27"/>
        <v>08010520041000600</v>
      </c>
    </row>
    <row r="843" spans="1:9">
      <c r="A843" s="241" t="s">
        <v>1198</v>
      </c>
      <c r="B843" s="242" t="s">
        <v>230</v>
      </c>
      <c r="C843" s="242" t="s">
        <v>392</v>
      </c>
      <c r="D843" s="242" t="s">
        <v>721</v>
      </c>
      <c r="E843" s="242" t="s">
        <v>1199</v>
      </c>
      <c r="F843" s="243">
        <v>245000</v>
      </c>
      <c r="G843" s="243">
        <v>245000</v>
      </c>
      <c r="H843" s="243">
        <f t="shared" si="28"/>
        <v>100</v>
      </c>
      <c r="I843" s="123" t="str">
        <f t="shared" si="27"/>
        <v>08010520041000610</v>
      </c>
    </row>
    <row r="844" spans="1:9" ht="51">
      <c r="A844" s="241" t="s">
        <v>347</v>
      </c>
      <c r="B844" s="242" t="s">
        <v>230</v>
      </c>
      <c r="C844" s="242" t="s">
        <v>392</v>
      </c>
      <c r="D844" s="242" t="s">
        <v>721</v>
      </c>
      <c r="E844" s="242" t="s">
        <v>348</v>
      </c>
      <c r="F844" s="243">
        <v>245000</v>
      </c>
      <c r="G844" s="243">
        <v>245000</v>
      </c>
      <c r="H844" s="243">
        <f t="shared" si="28"/>
        <v>100</v>
      </c>
      <c r="I844" s="123" t="str">
        <f t="shared" si="27"/>
        <v>08010520041000611</v>
      </c>
    </row>
    <row r="845" spans="1:9" ht="102">
      <c r="A845" s="241" t="s">
        <v>518</v>
      </c>
      <c r="B845" s="242" t="s">
        <v>230</v>
      </c>
      <c r="C845" s="242" t="s">
        <v>392</v>
      </c>
      <c r="D845" s="242" t="s">
        <v>722</v>
      </c>
      <c r="E845" s="242"/>
      <c r="F845" s="243">
        <v>309395</v>
      </c>
      <c r="G845" s="243">
        <v>309395</v>
      </c>
      <c r="H845" s="243">
        <f t="shared" si="28"/>
        <v>100</v>
      </c>
      <c r="I845" s="123" t="str">
        <f t="shared" si="27"/>
        <v>08010520045000</v>
      </c>
    </row>
    <row r="846" spans="1:9" ht="25.5">
      <c r="A846" s="241" t="s">
        <v>1327</v>
      </c>
      <c r="B846" s="242" t="s">
        <v>230</v>
      </c>
      <c r="C846" s="242" t="s">
        <v>392</v>
      </c>
      <c r="D846" s="242" t="s">
        <v>722</v>
      </c>
      <c r="E846" s="242" t="s">
        <v>1328</v>
      </c>
      <c r="F846" s="243">
        <v>309395</v>
      </c>
      <c r="G846" s="243">
        <v>309395</v>
      </c>
      <c r="H846" s="243">
        <f t="shared" si="28"/>
        <v>100</v>
      </c>
      <c r="I846" s="123" t="str">
        <f t="shared" si="27"/>
        <v>08010520045000600</v>
      </c>
    </row>
    <row r="847" spans="1:9">
      <c r="A847" s="241" t="s">
        <v>1198</v>
      </c>
      <c r="B847" s="242" t="s">
        <v>230</v>
      </c>
      <c r="C847" s="242" t="s">
        <v>392</v>
      </c>
      <c r="D847" s="242" t="s">
        <v>722</v>
      </c>
      <c r="E847" s="242" t="s">
        <v>1199</v>
      </c>
      <c r="F847" s="243">
        <v>309395</v>
      </c>
      <c r="G847" s="243">
        <v>309395</v>
      </c>
      <c r="H847" s="243">
        <f t="shared" si="28"/>
        <v>100</v>
      </c>
      <c r="I847" s="123" t="str">
        <f t="shared" si="27"/>
        <v>08010520045000610</v>
      </c>
    </row>
    <row r="848" spans="1:9" ht="51">
      <c r="A848" s="241" t="s">
        <v>347</v>
      </c>
      <c r="B848" s="242" t="s">
        <v>230</v>
      </c>
      <c r="C848" s="242" t="s">
        <v>392</v>
      </c>
      <c r="D848" s="242" t="s">
        <v>722</v>
      </c>
      <c r="E848" s="242" t="s">
        <v>348</v>
      </c>
      <c r="F848" s="243">
        <v>309395</v>
      </c>
      <c r="G848" s="243">
        <v>309395</v>
      </c>
      <c r="H848" s="243">
        <f t="shared" si="28"/>
        <v>100</v>
      </c>
      <c r="I848" s="123" t="str">
        <f t="shared" si="27"/>
        <v>08010520045000611</v>
      </c>
    </row>
    <row r="849" spans="1:9" ht="89.25">
      <c r="A849" s="241" t="s">
        <v>519</v>
      </c>
      <c r="B849" s="242" t="s">
        <v>230</v>
      </c>
      <c r="C849" s="242" t="s">
        <v>392</v>
      </c>
      <c r="D849" s="242" t="s">
        <v>723</v>
      </c>
      <c r="E849" s="242"/>
      <c r="F849" s="243">
        <v>362259.56</v>
      </c>
      <c r="G849" s="243">
        <v>304019.90999999997</v>
      </c>
      <c r="H849" s="243">
        <f t="shared" si="28"/>
        <v>83.923226208302125</v>
      </c>
      <c r="I849" s="123" t="str">
        <f t="shared" si="27"/>
        <v>08010520047000</v>
      </c>
    </row>
    <row r="850" spans="1:9" ht="25.5">
      <c r="A850" s="241" t="s">
        <v>1327</v>
      </c>
      <c r="B850" s="242" t="s">
        <v>230</v>
      </c>
      <c r="C850" s="242" t="s">
        <v>392</v>
      </c>
      <c r="D850" s="242" t="s">
        <v>723</v>
      </c>
      <c r="E850" s="242" t="s">
        <v>1328</v>
      </c>
      <c r="F850" s="243">
        <v>362259.56</v>
      </c>
      <c r="G850" s="243">
        <v>304019.90999999997</v>
      </c>
      <c r="H850" s="243">
        <f t="shared" si="28"/>
        <v>83.923226208302125</v>
      </c>
      <c r="I850" s="123" t="str">
        <f t="shared" si="27"/>
        <v>08010520047000600</v>
      </c>
    </row>
    <row r="851" spans="1:9">
      <c r="A851" s="241" t="s">
        <v>1198</v>
      </c>
      <c r="B851" s="242" t="s">
        <v>230</v>
      </c>
      <c r="C851" s="242" t="s">
        <v>392</v>
      </c>
      <c r="D851" s="242" t="s">
        <v>723</v>
      </c>
      <c r="E851" s="242" t="s">
        <v>1199</v>
      </c>
      <c r="F851" s="243">
        <v>362259.56</v>
      </c>
      <c r="G851" s="243">
        <v>304019.90999999997</v>
      </c>
      <c r="H851" s="243">
        <f t="shared" si="28"/>
        <v>83.923226208302125</v>
      </c>
      <c r="I851" s="123" t="str">
        <f t="shared" si="27"/>
        <v>08010520047000610</v>
      </c>
    </row>
    <row r="852" spans="1:9">
      <c r="A852" s="241" t="s">
        <v>366</v>
      </c>
      <c r="B852" s="242" t="s">
        <v>230</v>
      </c>
      <c r="C852" s="242" t="s">
        <v>392</v>
      </c>
      <c r="D852" s="242" t="s">
        <v>723</v>
      </c>
      <c r="E852" s="242" t="s">
        <v>367</v>
      </c>
      <c r="F852" s="243">
        <v>362259.56</v>
      </c>
      <c r="G852" s="243">
        <v>304019.90999999997</v>
      </c>
      <c r="H852" s="243">
        <f t="shared" si="28"/>
        <v>83.923226208302125</v>
      </c>
      <c r="I852" s="123" t="str">
        <f t="shared" si="27"/>
        <v>08010520047000612</v>
      </c>
    </row>
    <row r="853" spans="1:9" ht="89.25">
      <c r="A853" s="241" t="s">
        <v>570</v>
      </c>
      <c r="B853" s="242" t="s">
        <v>230</v>
      </c>
      <c r="C853" s="242" t="s">
        <v>392</v>
      </c>
      <c r="D853" s="242" t="s">
        <v>724</v>
      </c>
      <c r="E853" s="242"/>
      <c r="F853" s="243">
        <v>22500000</v>
      </c>
      <c r="G853" s="243">
        <v>21007797.530000001</v>
      </c>
      <c r="H853" s="243">
        <f t="shared" si="28"/>
        <v>93.367989022222233</v>
      </c>
      <c r="I853" s="123" t="str">
        <f t="shared" si="27"/>
        <v>0801052004Г000</v>
      </c>
    </row>
    <row r="854" spans="1:9" ht="25.5">
      <c r="A854" s="241" t="s">
        <v>1327</v>
      </c>
      <c r="B854" s="242" t="s">
        <v>230</v>
      </c>
      <c r="C854" s="242" t="s">
        <v>392</v>
      </c>
      <c r="D854" s="242" t="s">
        <v>724</v>
      </c>
      <c r="E854" s="242" t="s">
        <v>1328</v>
      </c>
      <c r="F854" s="243">
        <v>22500000</v>
      </c>
      <c r="G854" s="243">
        <v>21007797.530000001</v>
      </c>
      <c r="H854" s="243">
        <f t="shared" si="28"/>
        <v>93.367989022222233</v>
      </c>
      <c r="I854" s="123" t="str">
        <f t="shared" si="27"/>
        <v>0801052004Г000600</v>
      </c>
    </row>
    <row r="855" spans="1:9">
      <c r="A855" s="241" t="s">
        <v>1198</v>
      </c>
      <c r="B855" s="242" t="s">
        <v>230</v>
      </c>
      <c r="C855" s="242" t="s">
        <v>392</v>
      </c>
      <c r="D855" s="242" t="s">
        <v>724</v>
      </c>
      <c r="E855" s="242" t="s">
        <v>1199</v>
      </c>
      <c r="F855" s="243">
        <v>22500000</v>
      </c>
      <c r="G855" s="243">
        <v>21007797.530000001</v>
      </c>
      <c r="H855" s="243">
        <f t="shared" si="28"/>
        <v>93.367989022222233</v>
      </c>
      <c r="I855" s="123" t="str">
        <f t="shared" si="27"/>
        <v>0801052004Г000610</v>
      </c>
    </row>
    <row r="856" spans="1:9" ht="51">
      <c r="A856" s="241" t="s">
        <v>347</v>
      </c>
      <c r="B856" s="242" t="s">
        <v>230</v>
      </c>
      <c r="C856" s="242" t="s">
        <v>392</v>
      </c>
      <c r="D856" s="242" t="s">
        <v>724</v>
      </c>
      <c r="E856" s="242" t="s">
        <v>348</v>
      </c>
      <c r="F856" s="243">
        <v>22500000</v>
      </c>
      <c r="G856" s="243">
        <v>21007797.530000001</v>
      </c>
      <c r="H856" s="243">
        <f t="shared" si="28"/>
        <v>93.367989022222233</v>
      </c>
      <c r="I856" s="123" t="str">
        <f t="shared" si="27"/>
        <v>0801052004Г000611</v>
      </c>
    </row>
    <row r="857" spans="1:9" ht="63.75">
      <c r="A857" s="241" t="s">
        <v>1633</v>
      </c>
      <c r="B857" s="242" t="s">
        <v>230</v>
      </c>
      <c r="C857" s="242" t="s">
        <v>392</v>
      </c>
      <c r="D857" s="242" t="s">
        <v>1634</v>
      </c>
      <c r="E857" s="242"/>
      <c r="F857" s="243">
        <v>380000</v>
      </c>
      <c r="G857" s="243">
        <v>306816.06</v>
      </c>
      <c r="H857" s="243">
        <f t="shared" si="28"/>
        <v>80.741068421052631</v>
      </c>
      <c r="I857" s="123" t="str">
        <f t="shared" si="27"/>
        <v>0801052004М000</v>
      </c>
    </row>
    <row r="858" spans="1:9" ht="25.5">
      <c r="A858" s="241" t="s">
        <v>1327</v>
      </c>
      <c r="B858" s="242" t="s">
        <v>230</v>
      </c>
      <c r="C858" s="242" t="s">
        <v>392</v>
      </c>
      <c r="D858" s="242" t="s">
        <v>1634</v>
      </c>
      <c r="E858" s="242" t="s">
        <v>1328</v>
      </c>
      <c r="F858" s="243">
        <v>380000</v>
      </c>
      <c r="G858" s="243">
        <v>306816.06</v>
      </c>
      <c r="H858" s="243">
        <f t="shared" si="28"/>
        <v>80.741068421052631</v>
      </c>
      <c r="I858" s="123" t="str">
        <f t="shared" si="27"/>
        <v>0801052004М000600</v>
      </c>
    </row>
    <row r="859" spans="1:9">
      <c r="A859" s="241" t="s">
        <v>1198</v>
      </c>
      <c r="B859" s="242" t="s">
        <v>230</v>
      </c>
      <c r="C859" s="242" t="s">
        <v>392</v>
      </c>
      <c r="D859" s="242" t="s">
        <v>1634</v>
      </c>
      <c r="E859" s="242" t="s">
        <v>1199</v>
      </c>
      <c r="F859" s="243">
        <v>380000</v>
      </c>
      <c r="G859" s="243">
        <v>306816.06</v>
      </c>
      <c r="H859" s="243">
        <f t="shared" si="28"/>
        <v>80.741068421052631</v>
      </c>
      <c r="I859" s="123" t="str">
        <f t="shared" si="27"/>
        <v>0801052004М000610</v>
      </c>
    </row>
    <row r="860" spans="1:9" ht="51">
      <c r="A860" s="241" t="s">
        <v>347</v>
      </c>
      <c r="B860" s="242" t="s">
        <v>230</v>
      </c>
      <c r="C860" s="242" t="s">
        <v>392</v>
      </c>
      <c r="D860" s="242" t="s">
        <v>1634</v>
      </c>
      <c r="E860" s="242" t="s">
        <v>348</v>
      </c>
      <c r="F860" s="243">
        <v>380000</v>
      </c>
      <c r="G860" s="243">
        <v>306816.06</v>
      </c>
      <c r="H860" s="243">
        <f t="shared" si="28"/>
        <v>80.741068421052631</v>
      </c>
      <c r="I860" s="123" t="str">
        <f t="shared" si="27"/>
        <v>0801052004М000611</v>
      </c>
    </row>
    <row r="861" spans="1:9" ht="76.5">
      <c r="A861" s="241" t="s">
        <v>960</v>
      </c>
      <c r="B861" s="242" t="s">
        <v>230</v>
      </c>
      <c r="C861" s="242" t="s">
        <v>392</v>
      </c>
      <c r="D861" s="242" t="s">
        <v>961</v>
      </c>
      <c r="E861" s="242"/>
      <c r="F861" s="243">
        <v>3350000</v>
      </c>
      <c r="G861" s="243">
        <v>2150905.2999999998</v>
      </c>
      <c r="H861" s="243">
        <f t="shared" si="28"/>
        <v>64.206128358208943</v>
      </c>
      <c r="I861" s="123" t="str">
        <f t="shared" si="27"/>
        <v>0801052004Э000</v>
      </c>
    </row>
    <row r="862" spans="1:9" ht="25.5">
      <c r="A862" s="241" t="s">
        <v>1327</v>
      </c>
      <c r="B862" s="242" t="s">
        <v>230</v>
      </c>
      <c r="C862" s="242" t="s">
        <v>392</v>
      </c>
      <c r="D862" s="242" t="s">
        <v>961</v>
      </c>
      <c r="E862" s="242" t="s">
        <v>1328</v>
      </c>
      <c r="F862" s="243">
        <v>3350000</v>
      </c>
      <c r="G862" s="243">
        <v>2150905.2999999998</v>
      </c>
      <c r="H862" s="243">
        <f t="shared" si="28"/>
        <v>64.206128358208943</v>
      </c>
      <c r="I862" s="123" t="str">
        <f t="shared" si="27"/>
        <v>0801052004Э000600</v>
      </c>
    </row>
    <row r="863" spans="1:9">
      <c r="A863" s="241" t="s">
        <v>1198</v>
      </c>
      <c r="B863" s="242" t="s">
        <v>230</v>
      </c>
      <c r="C863" s="242" t="s">
        <v>392</v>
      </c>
      <c r="D863" s="242" t="s">
        <v>961</v>
      </c>
      <c r="E863" s="242" t="s">
        <v>1199</v>
      </c>
      <c r="F863" s="243">
        <v>3350000</v>
      </c>
      <c r="G863" s="243">
        <v>2150905.2999999998</v>
      </c>
      <c r="H863" s="243">
        <f t="shared" si="28"/>
        <v>64.206128358208943</v>
      </c>
      <c r="I863" s="123" t="str">
        <f t="shared" si="27"/>
        <v>0801052004Э000610</v>
      </c>
    </row>
    <row r="864" spans="1:9" ht="51">
      <c r="A864" s="241" t="s">
        <v>347</v>
      </c>
      <c r="B864" s="242" t="s">
        <v>230</v>
      </c>
      <c r="C864" s="242" t="s">
        <v>392</v>
      </c>
      <c r="D864" s="242" t="s">
        <v>961</v>
      </c>
      <c r="E864" s="242" t="s">
        <v>348</v>
      </c>
      <c r="F864" s="243">
        <v>3350000</v>
      </c>
      <c r="G864" s="243">
        <v>2150905.2999999998</v>
      </c>
      <c r="H864" s="243">
        <f t="shared" si="28"/>
        <v>64.206128358208943</v>
      </c>
      <c r="I864" s="123" t="str">
        <f t="shared" si="27"/>
        <v>0801052004Э000611</v>
      </c>
    </row>
    <row r="865" spans="1:9" ht="51">
      <c r="A865" s="241" t="s">
        <v>508</v>
      </c>
      <c r="B865" s="242" t="s">
        <v>230</v>
      </c>
      <c r="C865" s="242" t="s">
        <v>392</v>
      </c>
      <c r="D865" s="242" t="s">
        <v>702</v>
      </c>
      <c r="E865" s="242"/>
      <c r="F865" s="243">
        <v>1170650</v>
      </c>
      <c r="G865" s="243">
        <v>1170650</v>
      </c>
      <c r="H865" s="243">
        <f t="shared" si="28"/>
        <v>100</v>
      </c>
      <c r="I865" s="123" t="str">
        <f t="shared" si="27"/>
        <v>08010520080520</v>
      </c>
    </row>
    <row r="866" spans="1:9" ht="25.5">
      <c r="A866" s="241" t="s">
        <v>1327</v>
      </c>
      <c r="B866" s="242" t="s">
        <v>230</v>
      </c>
      <c r="C866" s="242" t="s">
        <v>392</v>
      </c>
      <c r="D866" s="242" t="s">
        <v>702</v>
      </c>
      <c r="E866" s="242" t="s">
        <v>1328</v>
      </c>
      <c r="F866" s="243">
        <v>1170650</v>
      </c>
      <c r="G866" s="243">
        <v>1170650</v>
      </c>
      <c r="H866" s="243">
        <f t="shared" si="28"/>
        <v>100</v>
      </c>
      <c r="I866" s="123" t="str">
        <f t="shared" si="27"/>
        <v>08010520080520600</v>
      </c>
    </row>
    <row r="867" spans="1:9">
      <c r="A867" s="241" t="s">
        <v>1198</v>
      </c>
      <c r="B867" s="242" t="s">
        <v>230</v>
      </c>
      <c r="C867" s="242" t="s">
        <v>392</v>
      </c>
      <c r="D867" s="242" t="s">
        <v>702</v>
      </c>
      <c r="E867" s="242" t="s">
        <v>1199</v>
      </c>
      <c r="F867" s="243">
        <v>1170650</v>
      </c>
      <c r="G867" s="243">
        <v>1170650</v>
      </c>
      <c r="H867" s="243">
        <f t="shared" si="28"/>
        <v>100</v>
      </c>
      <c r="I867" s="123" t="str">
        <f t="shared" si="27"/>
        <v>08010520080520610</v>
      </c>
    </row>
    <row r="868" spans="1:9">
      <c r="A868" s="241" t="s">
        <v>366</v>
      </c>
      <c r="B868" s="242" t="s">
        <v>230</v>
      </c>
      <c r="C868" s="242" t="s">
        <v>392</v>
      </c>
      <c r="D868" s="242" t="s">
        <v>702</v>
      </c>
      <c r="E868" s="242" t="s">
        <v>367</v>
      </c>
      <c r="F868" s="243">
        <v>1170650</v>
      </c>
      <c r="G868" s="243">
        <v>1170650</v>
      </c>
      <c r="H868" s="243">
        <f t="shared" si="28"/>
        <v>100</v>
      </c>
      <c r="I868" s="123" t="str">
        <f t="shared" si="27"/>
        <v>08010520080520612</v>
      </c>
    </row>
    <row r="869" spans="1:9" ht="102">
      <c r="A869" s="241" t="s">
        <v>1808</v>
      </c>
      <c r="B869" s="242" t="s">
        <v>230</v>
      </c>
      <c r="C869" s="242" t="s">
        <v>392</v>
      </c>
      <c r="D869" s="242" t="s">
        <v>2207</v>
      </c>
      <c r="E869" s="242"/>
      <c r="F869" s="243">
        <v>170416</v>
      </c>
      <c r="G869" s="243">
        <v>170416</v>
      </c>
      <c r="H869" s="243">
        <f t="shared" si="28"/>
        <v>100</v>
      </c>
      <c r="I869" s="123" t="str">
        <f t="shared" si="27"/>
        <v>0801052A274820</v>
      </c>
    </row>
    <row r="870" spans="1:9" ht="25.5">
      <c r="A870" s="241" t="s">
        <v>1327</v>
      </c>
      <c r="B870" s="242" t="s">
        <v>230</v>
      </c>
      <c r="C870" s="242" t="s">
        <v>392</v>
      </c>
      <c r="D870" s="242" t="s">
        <v>2207</v>
      </c>
      <c r="E870" s="242" t="s">
        <v>1328</v>
      </c>
      <c r="F870" s="243">
        <v>170416</v>
      </c>
      <c r="G870" s="243">
        <v>170416</v>
      </c>
      <c r="H870" s="243">
        <f t="shared" si="28"/>
        <v>100</v>
      </c>
      <c r="I870" s="123" t="str">
        <f t="shared" si="27"/>
        <v>0801052A274820600</v>
      </c>
    </row>
    <row r="871" spans="1:9">
      <c r="A871" s="241" t="s">
        <v>1198</v>
      </c>
      <c r="B871" s="242" t="s">
        <v>230</v>
      </c>
      <c r="C871" s="242" t="s">
        <v>392</v>
      </c>
      <c r="D871" s="242" t="s">
        <v>2207</v>
      </c>
      <c r="E871" s="242" t="s">
        <v>1199</v>
      </c>
      <c r="F871" s="243">
        <v>170416</v>
      </c>
      <c r="G871" s="243">
        <v>170416</v>
      </c>
      <c r="H871" s="243">
        <f t="shared" si="28"/>
        <v>100</v>
      </c>
      <c r="I871" s="123" t="str">
        <f t="shared" ref="I871:I934" si="29">CONCATENATE(C871,D871,E871)</f>
        <v>0801052A274820610</v>
      </c>
    </row>
    <row r="872" spans="1:9">
      <c r="A872" s="241" t="s">
        <v>366</v>
      </c>
      <c r="B872" s="242" t="s">
        <v>230</v>
      </c>
      <c r="C872" s="242" t="s">
        <v>392</v>
      </c>
      <c r="D872" s="242" t="s">
        <v>2207</v>
      </c>
      <c r="E872" s="242" t="s">
        <v>367</v>
      </c>
      <c r="F872" s="243">
        <v>170416</v>
      </c>
      <c r="G872" s="243">
        <v>170416</v>
      </c>
      <c r="H872" s="243">
        <f t="shared" si="28"/>
        <v>100</v>
      </c>
      <c r="I872" s="123" t="str">
        <f t="shared" si="29"/>
        <v>0801052A274820612</v>
      </c>
    </row>
    <row r="873" spans="1:9" ht="25.5">
      <c r="A873" s="241" t="s">
        <v>595</v>
      </c>
      <c r="B873" s="242" t="s">
        <v>230</v>
      </c>
      <c r="C873" s="242" t="s">
        <v>392</v>
      </c>
      <c r="D873" s="242" t="s">
        <v>984</v>
      </c>
      <c r="E873" s="242"/>
      <c r="F873" s="243">
        <v>2551317</v>
      </c>
      <c r="G873" s="243">
        <v>2551317</v>
      </c>
      <c r="H873" s="243">
        <f t="shared" si="28"/>
        <v>100</v>
      </c>
      <c r="I873" s="123" t="str">
        <f t="shared" si="29"/>
        <v>08010530000000</v>
      </c>
    </row>
    <row r="874" spans="1:9" ht="51">
      <c r="A874" s="241" t="s">
        <v>2227</v>
      </c>
      <c r="B874" s="242" t="s">
        <v>230</v>
      </c>
      <c r="C874" s="242" t="s">
        <v>392</v>
      </c>
      <c r="D874" s="242" t="s">
        <v>2072</v>
      </c>
      <c r="E874" s="242"/>
      <c r="F874" s="243">
        <v>770000</v>
      </c>
      <c r="G874" s="243">
        <v>770000</v>
      </c>
      <c r="H874" s="243">
        <f t="shared" si="28"/>
        <v>100</v>
      </c>
      <c r="I874" s="123" t="str">
        <f t="shared" si="29"/>
        <v>08010530080000</v>
      </c>
    </row>
    <row r="875" spans="1:9" ht="25.5">
      <c r="A875" s="241" t="s">
        <v>1327</v>
      </c>
      <c r="B875" s="242" t="s">
        <v>230</v>
      </c>
      <c r="C875" s="242" t="s">
        <v>392</v>
      </c>
      <c r="D875" s="242" t="s">
        <v>2072</v>
      </c>
      <c r="E875" s="242" t="s">
        <v>1328</v>
      </c>
      <c r="F875" s="243">
        <v>770000</v>
      </c>
      <c r="G875" s="243">
        <v>770000</v>
      </c>
      <c r="H875" s="243">
        <f t="shared" si="28"/>
        <v>100</v>
      </c>
      <c r="I875" s="123" t="str">
        <f t="shared" si="29"/>
        <v>08010530080000600</v>
      </c>
    </row>
    <row r="876" spans="1:9">
      <c r="A876" s="241" t="s">
        <v>1198</v>
      </c>
      <c r="B876" s="242" t="s">
        <v>230</v>
      </c>
      <c r="C876" s="242" t="s">
        <v>392</v>
      </c>
      <c r="D876" s="242" t="s">
        <v>2072</v>
      </c>
      <c r="E876" s="242" t="s">
        <v>1199</v>
      </c>
      <c r="F876" s="243">
        <v>770000</v>
      </c>
      <c r="G876" s="243">
        <v>770000</v>
      </c>
      <c r="H876" s="243">
        <f t="shared" si="28"/>
        <v>100</v>
      </c>
      <c r="I876" s="123" t="str">
        <f t="shared" si="29"/>
        <v>08010530080000610</v>
      </c>
    </row>
    <row r="877" spans="1:9">
      <c r="A877" s="241" t="s">
        <v>366</v>
      </c>
      <c r="B877" s="242" t="s">
        <v>230</v>
      </c>
      <c r="C877" s="242" t="s">
        <v>392</v>
      </c>
      <c r="D877" s="242" t="s">
        <v>2072</v>
      </c>
      <c r="E877" s="242" t="s">
        <v>367</v>
      </c>
      <c r="F877" s="243">
        <v>770000</v>
      </c>
      <c r="G877" s="243">
        <v>770000</v>
      </c>
      <c r="H877" s="243">
        <f t="shared" si="28"/>
        <v>100</v>
      </c>
      <c r="I877" s="123" t="str">
        <f t="shared" si="29"/>
        <v>08010530080000612</v>
      </c>
    </row>
    <row r="878" spans="1:9" ht="76.5">
      <c r="A878" s="241" t="s">
        <v>2073</v>
      </c>
      <c r="B878" s="242" t="s">
        <v>230</v>
      </c>
      <c r="C878" s="242" t="s">
        <v>392</v>
      </c>
      <c r="D878" s="242" t="s">
        <v>1503</v>
      </c>
      <c r="E878" s="242"/>
      <c r="F878" s="243">
        <v>1631317</v>
      </c>
      <c r="G878" s="243">
        <v>1631317</v>
      </c>
      <c r="H878" s="243">
        <f t="shared" si="28"/>
        <v>100</v>
      </c>
      <c r="I878" s="123" t="str">
        <f t="shared" si="29"/>
        <v>080105300L4670</v>
      </c>
    </row>
    <row r="879" spans="1:9" ht="25.5">
      <c r="A879" s="241" t="s">
        <v>1327</v>
      </c>
      <c r="B879" s="242" t="s">
        <v>230</v>
      </c>
      <c r="C879" s="242" t="s">
        <v>392</v>
      </c>
      <c r="D879" s="242" t="s">
        <v>1503</v>
      </c>
      <c r="E879" s="242" t="s">
        <v>1328</v>
      </c>
      <c r="F879" s="243">
        <v>1631317</v>
      </c>
      <c r="G879" s="243">
        <v>1631317</v>
      </c>
      <c r="H879" s="243">
        <f t="shared" si="28"/>
        <v>100</v>
      </c>
      <c r="I879" s="123" t="str">
        <f t="shared" si="29"/>
        <v>080105300L4670600</v>
      </c>
    </row>
    <row r="880" spans="1:9">
      <c r="A880" s="241" t="s">
        <v>1198</v>
      </c>
      <c r="B880" s="242" t="s">
        <v>230</v>
      </c>
      <c r="C880" s="242" t="s">
        <v>392</v>
      </c>
      <c r="D880" s="242" t="s">
        <v>1503</v>
      </c>
      <c r="E880" s="242" t="s">
        <v>1199</v>
      </c>
      <c r="F880" s="243">
        <v>1631317</v>
      </c>
      <c r="G880" s="243">
        <v>1631317</v>
      </c>
      <c r="H880" s="243">
        <f t="shared" si="28"/>
        <v>100</v>
      </c>
      <c r="I880" s="123" t="str">
        <f t="shared" si="29"/>
        <v>080105300L4670610</v>
      </c>
    </row>
    <row r="881" spans="1:9">
      <c r="A881" s="241" t="s">
        <v>366</v>
      </c>
      <c r="B881" s="242" t="s">
        <v>230</v>
      </c>
      <c r="C881" s="242" t="s">
        <v>392</v>
      </c>
      <c r="D881" s="242" t="s">
        <v>1503</v>
      </c>
      <c r="E881" s="242" t="s">
        <v>367</v>
      </c>
      <c r="F881" s="243">
        <v>1631317</v>
      </c>
      <c r="G881" s="243">
        <v>1631317</v>
      </c>
      <c r="H881" s="243">
        <f t="shared" si="28"/>
        <v>100</v>
      </c>
      <c r="I881" s="123" t="str">
        <f t="shared" si="29"/>
        <v>080105300L4670612</v>
      </c>
    </row>
    <row r="882" spans="1:9" ht="76.5">
      <c r="A882" s="241" t="s">
        <v>2074</v>
      </c>
      <c r="B882" s="242" t="s">
        <v>230</v>
      </c>
      <c r="C882" s="242" t="s">
        <v>392</v>
      </c>
      <c r="D882" s="242" t="s">
        <v>2075</v>
      </c>
      <c r="E882" s="242"/>
      <c r="F882" s="243">
        <v>50000</v>
      </c>
      <c r="G882" s="243">
        <v>50000</v>
      </c>
      <c r="H882" s="243">
        <f t="shared" si="28"/>
        <v>100</v>
      </c>
      <c r="I882" s="123" t="str">
        <f t="shared" si="29"/>
        <v>0801053A255195</v>
      </c>
    </row>
    <row r="883" spans="1:9" ht="25.5">
      <c r="A883" s="241" t="s">
        <v>1327</v>
      </c>
      <c r="B883" s="242" t="s">
        <v>230</v>
      </c>
      <c r="C883" s="242" t="s">
        <v>392</v>
      </c>
      <c r="D883" s="242" t="s">
        <v>2075</v>
      </c>
      <c r="E883" s="242" t="s">
        <v>1328</v>
      </c>
      <c r="F883" s="243">
        <v>50000</v>
      </c>
      <c r="G883" s="243">
        <v>50000</v>
      </c>
      <c r="H883" s="243">
        <f t="shared" si="28"/>
        <v>100</v>
      </c>
      <c r="I883" s="123" t="str">
        <f t="shared" si="29"/>
        <v>0801053A255195600</v>
      </c>
    </row>
    <row r="884" spans="1:9">
      <c r="A884" s="241" t="s">
        <v>1198</v>
      </c>
      <c r="B884" s="242" t="s">
        <v>230</v>
      </c>
      <c r="C884" s="242" t="s">
        <v>392</v>
      </c>
      <c r="D884" s="242" t="s">
        <v>2075</v>
      </c>
      <c r="E884" s="242" t="s">
        <v>1199</v>
      </c>
      <c r="F884" s="243">
        <v>50000</v>
      </c>
      <c r="G884" s="243">
        <v>50000</v>
      </c>
      <c r="H884" s="243">
        <f t="shared" si="28"/>
        <v>100</v>
      </c>
      <c r="I884" s="123" t="str">
        <f t="shared" si="29"/>
        <v>0801053A255195610</v>
      </c>
    </row>
    <row r="885" spans="1:9">
      <c r="A885" s="241" t="s">
        <v>366</v>
      </c>
      <c r="B885" s="242" t="s">
        <v>230</v>
      </c>
      <c r="C885" s="242" t="s">
        <v>392</v>
      </c>
      <c r="D885" s="242" t="s">
        <v>2075</v>
      </c>
      <c r="E885" s="242" t="s">
        <v>367</v>
      </c>
      <c r="F885" s="243">
        <v>50000</v>
      </c>
      <c r="G885" s="243">
        <v>50000</v>
      </c>
      <c r="H885" s="243">
        <f t="shared" si="28"/>
        <v>100</v>
      </c>
      <c r="I885" s="123" t="str">
        <f t="shared" si="29"/>
        <v>0801053A255195612</v>
      </c>
    </row>
    <row r="886" spans="1:9" ht="76.5">
      <c r="A886" s="241" t="s">
        <v>2076</v>
      </c>
      <c r="B886" s="242" t="s">
        <v>230</v>
      </c>
      <c r="C886" s="242" t="s">
        <v>392</v>
      </c>
      <c r="D886" s="242" t="s">
        <v>2077</v>
      </c>
      <c r="E886" s="242"/>
      <c r="F886" s="243">
        <v>100000</v>
      </c>
      <c r="G886" s="243">
        <v>100000</v>
      </c>
      <c r="H886" s="243">
        <f t="shared" si="28"/>
        <v>100</v>
      </c>
      <c r="I886" s="123" t="str">
        <f t="shared" si="29"/>
        <v>0801053A255196</v>
      </c>
    </row>
    <row r="887" spans="1:9" ht="25.5">
      <c r="A887" s="241" t="s">
        <v>1327</v>
      </c>
      <c r="B887" s="242" t="s">
        <v>230</v>
      </c>
      <c r="C887" s="242" t="s">
        <v>392</v>
      </c>
      <c r="D887" s="242" t="s">
        <v>2077</v>
      </c>
      <c r="E887" s="242" t="s">
        <v>1328</v>
      </c>
      <c r="F887" s="243">
        <v>100000</v>
      </c>
      <c r="G887" s="243">
        <v>100000</v>
      </c>
      <c r="H887" s="243">
        <f t="shared" si="28"/>
        <v>100</v>
      </c>
      <c r="I887" s="123" t="str">
        <f t="shared" si="29"/>
        <v>0801053A255196600</v>
      </c>
    </row>
    <row r="888" spans="1:9">
      <c r="A888" s="241" t="s">
        <v>1198</v>
      </c>
      <c r="B888" s="242" t="s">
        <v>230</v>
      </c>
      <c r="C888" s="242" t="s">
        <v>392</v>
      </c>
      <c r="D888" s="242" t="s">
        <v>2077</v>
      </c>
      <c r="E888" s="242" t="s">
        <v>1199</v>
      </c>
      <c r="F888" s="243">
        <v>100000</v>
      </c>
      <c r="G888" s="243">
        <v>100000</v>
      </c>
      <c r="H888" s="243">
        <f t="shared" si="28"/>
        <v>100</v>
      </c>
      <c r="I888" s="123" t="str">
        <f t="shared" si="29"/>
        <v>0801053A255196610</v>
      </c>
    </row>
    <row r="889" spans="1:9">
      <c r="A889" s="241" t="s">
        <v>366</v>
      </c>
      <c r="B889" s="242" t="s">
        <v>230</v>
      </c>
      <c r="C889" s="242" t="s">
        <v>392</v>
      </c>
      <c r="D889" s="242" t="s">
        <v>2077</v>
      </c>
      <c r="E889" s="242" t="s">
        <v>367</v>
      </c>
      <c r="F889" s="243">
        <v>100000</v>
      </c>
      <c r="G889" s="243">
        <v>100000</v>
      </c>
      <c r="H889" s="243">
        <f t="shared" si="28"/>
        <v>100</v>
      </c>
      <c r="I889" s="123" t="str">
        <f t="shared" si="29"/>
        <v>0801053A255196612</v>
      </c>
    </row>
    <row r="890" spans="1:9" ht="38.25">
      <c r="A890" s="241" t="s">
        <v>1719</v>
      </c>
      <c r="B890" s="242" t="s">
        <v>230</v>
      </c>
      <c r="C890" s="242" t="s">
        <v>392</v>
      </c>
      <c r="D890" s="242" t="s">
        <v>1720</v>
      </c>
      <c r="E890" s="242"/>
      <c r="F890" s="243">
        <v>100000</v>
      </c>
      <c r="G890" s="243">
        <v>0</v>
      </c>
      <c r="H890" s="243">
        <f t="shared" si="28"/>
        <v>0</v>
      </c>
      <c r="I890" s="123" t="str">
        <f t="shared" si="29"/>
        <v>08011300000000</v>
      </c>
    </row>
    <row r="891" spans="1:9" ht="51">
      <c r="A891" s="241" t="s">
        <v>1728</v>
      </c>
      <c r="B891" s="242" t="s">
        <v>230</v>
      </c>
      <c r="C891" s="242" t="s">
        <v>392</v>
      </c>
      <c r="D891" s="242" t="s">
        <v>1729</v>
      </c>
      <c r="E891" s="242"/>
      <c r="F891" s="243">
        <v>100000</v>
      </c>
      <c r="G891" s="243">
        <v>0</v>
      </c>
      <c r="H891" s="243">
        <f t="shared" si="28"/>
        <v>0</v>
      </c>
      <c r="I891" s="123" t="str">
        <f t="shared" si="29"/>
        <v>08011320000000</v>
      </c>
    </row>
    <row r="892" spans="1:9" ht="102">
      <c r="A892" s="241" t="s">
        <v>1730</v>
      </c>
      <c r="B892" s="242" t="s">
        <v>230</v>
      </c>
      <c r="C892" s="242" t="s">
        <v>392</v>
      </c>
      <c r="D892" s="242" t="s">
        <v>1731</v>
      </c>
      <c r="E892" s="242"/>
      <c r="F892" s="243">
        <v>50000</v>
      </c>
      <c r="G892" s="243">
        <v>0</v>
      </c>
      <c r="H892" s="243">
        <f t="shared" si="28"/>
        <v>0</v>
      </c>
      <c r="I892" s="123" t="str">
        <f t="shared" si="29"/>
        <v>08011320080020</v>
      </c>
    </row>
    <row r="893" spans="1:9" ht="25.5">
      <c r="A893" s="241" t="s">
        <v>1319</v>
      </c>
      <c r="B893" s="242" t="s">
        <v>230</v>
      </c>
      <c r="C893" s="242" t="s">
        <v>392</v>
      </c>
      <c r="D893" s="242" t="s">
        <v>1731</v>
      </c>
      <c r="E893" s="242" t="s">
        <v>1320</v>
      </c>
      <c r="F893" s="243">
        <v>50000</v>
      </c>
      <c r="G893" s="243">
        <v>0</v>
      </c>
      <c r="H893" s="243">
        <f t="shared" si="28"/>
        <v>0</v>
      </c>
      <c r="I893" s="123" t="str">
        <f t="shared" si="29"/>
        <v>08011320080020200</v>
      </c>
    </row>
    <row r="894" spans="1:9" ht="25.5">
      <c r="A894" s="241" t="s">
        <v>1196</v>
      </c>
      <c r="B894" s="242" t="s">
        <v>230</v>
      </c>
      <c r="C894" s="242" t="s">
        <v>392</v>
      </c>
      <c r="D894" s="242" t="s">
        <v>1731</v>
      </c>
      <c r="E894" s="242" t="s">
        <v>1197</v>
      </c>
      <c r="F894" s="243">
        <v>50000</v>
      </c>
      <c r="G894" s="243">
        <v>0</v>
      </c>
      <c r="H894" s="243">
        <f t="shared" si="28"/>
        <v>0</v>
      </c>
      <c r="I894" s="123" t="str">
        <f t="shared" si="29"/>
        <v>08011320080020240</v>
      </c>
    </row>
    <row r="895" spans="1:9">
      <c r="A895" s="241" t="s">
        <v>1223</v>
      </c>
      <c r="B895" s="242" t="s">
        <v>230</v>
      </c>
      <c r="C895" s="242" t="s">
        <v>392</v>
      </c>
      <c r="D895" s="242" t="s">
        <v>1731</v>
      </c>
      <c r="E895" s="242" t="s">
        <v>329</v>
      </c>
      <c r="F895" s="243">
        <v>50000</v>
      </c>
      <c r="G895" s="243">
        <v>0</v>
      </c>
      <c r="H895" s="243">
        <f t="shared" si="28"/>
        <v>0</v>
      </c>
      <c r="I895" s="123" t="str">
        <f t="shared" si="29"/>
        <v>08011320080020244</v>
      </c>
    </row>
    <row r="896" spans="1:9" ht="114.75">
      <c r="A896" s="241" t="s">
        <v>1961</v>
      </c>
      <c r="B896" s="242" t="s">
        <v>230</v>
      </c>
      <c r="C896" s="242" t="s">
        <v>392</v>
      </c>
      <c r="D896" s="242" t="s">
        <v>1962</v>
      </c>
      <c r="E896" s="242"/>
      <c r="F896" s="243">
        <v>50000</v>
      </c>
      <c r="G896" s="243">
        <v>0</v>
      </c>
      <c r="H896" s="243">
        <f t="shared" si="28"/>
        <v>0</v>
      </c>
      <c r="I896" s="123" t="str">
        <f t="shared" si="29"/>
        <v>0801132008Ф010</v>
      </c>
    </row>
    <row r="897" spans="1:9" ht="25.5">
      <c r="A897" s="241" t="s">
        <v>1319</v>
      </c>
      <c r="B897" s="242" t="s">
        <v>230</v>
      </c>
      <c r="C897" s="242" t="s">
        <v>392</v>
      </c>
      <c r="D897" s="242" t="s">
        <v>1962</v>
      </c>
      <c r="E897" s="242" t="s">
        <v>1320</v>
      </c>
      <c r="F897" s="243">
        <v>50000</v>
      </c>
      <c r="G897" s="243">
        <v>0</v>
      </c>
      <c r="H897" s="243">
        <f t="shared" si="28"/>
        <v>0</v>
      </c>
      <c r="I897" s="123" t="str">
        <f t="shared" si="29"/>
        <v>0801132008Ф010200</v>
      </c>
    </row>
    <row r="898" spans="1:9" ht="25.5">
      <c r="A898" s="241" t="s">
        <v>1196</v>
      </c>
      <c r="B898" s="242" t="s">
        <v>230</v>
      </c>
      <c r="C898" s="242" t="s">
        <v>392</v>
      </c>
      <c r="D898" s="242" t="s">
        <v>1962</v>
      </c>
      <c r="E898" s="242" t="s">
        <v>1197</v>
      </c>
      <c r="F898" s="243">
        <v>50000</v>
      </c>
      <c r="G898" s="243">
        <v>0</v>
      </c>
      <c r="H898" s="243">
        <f t="shared" si="28"/>
        <v>0</v>
      </c>
      <c r="I898" s="123" t="str">
        <f t="shared" si="29"/>
        <v>0801132008Ф010240</v>
      </c>
    </row>
    <row r="899" spans="1:9">
      <c r="A899" s="241" t="s">
        <v>1223</v>
      </c>
      <c r="B899" s="242" t="s">
        <v>230</v>
      </c>
      <c r="C899" s="242" t="s">
        <v>392</v>
      </c>
      <c r="D899" s="242" t="s">
        <v>1962</v>
      </c>
      <c r="E899" s="242" t="s">
        <v>329</v>
      </c>
      <c r="F899" s="243">
        <v>50000</v>
      </c>
      <c r="G899" s="243">
        <v>0</v>
      </c>
      <c r="H899" s="243">
        <f t="shared" si="28"/>
        <v>0</v>
      </c>
      <c r="I899" s="123" t="str">
        <f t="shared" si="29"/>
        <v>0801132008Ф010244</v>
      </c>
    </row>
    <row r="900" spans="1:9">
      <c r="A900" s="241" t="s">
        <v>0</v>
      </c>
      <c r="B900" s="242" t="s">
        <v>230</v>
      </c>
      <c r="C900" s="242" t="s">
        <v>402</v>
      </c>
      <c r="D900" s="242"/>
      <c r="E900" s="242"/>
      <c r="F900" s="243">
        <v>113361612.45</v>
      </c>
      <c r="G900" s="243">
        <v>112940384.48</v>
      </c>
      <c r="H900" s="243">
        <f t="shared" si="28"/>
        <v>99.62842097876316</v>
      </c>
      <c r="I900" s="123" t="str">
        <f t="shared" si="29"/>
        <v>0804</v>
      </c>
    </row>
    <row r="901" spans="1:9" ht="25.5">
      <c r="A901" s="241" t="s">
        <v>461</v>
      </c>
      <c r="B901" s="242" t="s">
        <v>230</v>
      </c>
      <c r="C901" s="242" t="s">
        <v>402</v>
      </c>
      <c r="D901" s="242" t="s">
        <v>981</v>
      </c>
      <c r="E901" s="242"/>
      <c r="F901" s="243">
        <v>113361612.45</v>
      </c>
      <c r="G901" s="243">
        <v>112940384.48</v>
      </c>
      <c r="H901" s="243">
        <f t="shared" si="28"/>
        <v>99.62842097876316</v>
      </c>
      <c r="I901" s="123" t="str">
        <f t="shared" si="29"/>
        <v>08040500000000</v>
      </c>
    </row>
    <row r="902" spans="1:9" ht="25.5">
      <c r="A902" s="241" t="s">
        <v>595</v>
      </c>
      <c r="B902" s="242" t="s">
        <v>230</v>
      </c>
      <c r="C902" s="242" t="s">
        <v>402</v>
      </c>
      <c r="D902" s="242" t="s">
        <v>984</v>
      </c>
      <c r="E902" s="242"/>
      <c r="F902" s="243">
        <v>113361612.45</v>
      </c>
      <c r="G902" s="243">
        <v>112940384.48</v>
      </c>
      <c r="H902" s="243">
        <f t="shared" ref="H902:H965" si="30">G902/F902*100</f>
        <v>99.62842097876316</v>
      </c>
      <c r="I902" s="123" t="str">
        <f t="shared" si="29"/>
        <v>08040530000000</v>
      </c>
    </row>
    <row r="903" spans="1:9" ht="89.25">
      <c r="A903" s="241" t="s">
        <v>2223</v>
      </c>
      <c r="B903" s="242" t="s">
        <v>230</v>
      </c>
      <c r="C903" s="242" t="s">
        <v>402</v>
      </c>
      <c r="D903" s="242" t="s">
        <v>2224</v>
      </c>
      <c r="E903" s="242"/>
      <c r="F903" s="243">
        <v>4491178</v>
      </c>
      <c r="G903" s="243">
        <v>4491178</v>
      </c>
      <c r="H903" s="243">
        <f t="shared" si="30"/>
        <v>100</v>
      </c>
      <c r="I903" s="123" t="str">
        <f t="shared" si="29"/>
        <v>08040530010340</v>
      </c>
    </row>
    <row r="904" spans="1:9" ht="63.75">
      <c r="A904" s="241" t="s">
        <v>1318</v>
      </c>
      <c r="B904" s="242" t="s">
        <v>230</v>
      </c>
      <c r="C904" s="242" t="s">
        <v>402</v>
      </c>
      <c r="D904" s="242" t="s">
        <v>2224</v>
      </c>
      <c r="E904" s="242" t="s">
        <v>273</v>
      </c>
      <c r="F904" s="243">
        <v>4491178</v>
      </c>
      <c r="G904" s="243">
        <v>4491178</v>
      </c>
      <c r="H904" s="243">
        <f t="shared" si="30"/>
        <v>100</v>
      </c>
      <c r="I904" s="123" t="str">
        <f t="shared" si="29"/>
        <v>08040530010340100</v>
      </c>
    </row>
    <row r="905" spans="1:9">
      <c r="A905" s="241" t="s">
        <v>1190</v>
      </c>
      <c r="B905" s="242" t="s">
        <v>230</v>
      </c>
      <c r="C905" s="242" t="s">
        <v>402</v>
      </c>
      <c r="D905" s="242" t="s">
        <v>2224</v>
      </c>
      <c r="E905" s="242" t="s">
        <v>133</v>
      </c>
      <c r="F905" s="243">
        <v>4491178</v>
      </c>
      <c r="G905" s="243">
        <v>4491178</v>
      </c>
      <c r="H905" s="243">
        <f t="shared" si="30"/>
        <v>100</v>
      </c>
      <c r="I905" s="123" t="str">
        <f t="shared" si="29"/>
        <v>08040530010340110</v>
      </c>
    </row>
    <row r="906" spans="1:9">
      <c r="A906" s="241" t="s">
        <v>1138</v>
      </c>
      <c r="B906" s="242" t="s">
        <v>230</v>
      </c>
      <c r="C906" s="242" t="s">
        <v>402</v>
      </c>
      <c r="D906" s="242" t="s">
        <v>2224</v>
      </c>
      <c r="E906" s="242" t="s">
        <v>342</v>
      </c>
      <c r="F906" s="243">
        <v>3449445</v>
      </c>
      <c r="G906" s="243">
        <v>3449445</v>
      </c>
      <c r="H906" s="243">
        <f t="shared" si="30"/>
        <v>100</v>
      </c>
      <c r="I906" s="123" t="str">
        <f t="shared" si="29"/>
        <v>08040530010340111</v>
      </c>
    </row>
    <row r="907" spans="1:9" ht="38.25">
      <c r="A907" s="241" t="s">
        <v>1139</v>
      </c>
      <c r="B907" s="242" t="s">
        <v>230</v>
      </c>
      <c r="C907" s="242" t="s">
        <v>402</v>
      </c>
      <c r="D907" s="242" t="s">
        <v>2224</v>
      </c>
      <c r="E907" s="242" t="s">
        <v>1056</v>
      </c>
      <c r="F907" s="243">
        <v>1041733</v>
      </c>
      <c r="G907" s="243">
        <v>1041733</v>
      </c>
      <c r="H907" s="243">
        <f t="shared" si="30"/>
        <v>100</v>
      </c>
      <c r="I907" s="123" t="str">
        <f t="shared" si="29"/>
        <v>08040530010340119</v>
      </c>
    </row>
    <row r="908" spans="1:9" ht="127.5">
      <c r="A908" s="241" t="s">
        <v>2054</v>
      </c>
      <c r="B908" s="242" t="s">
        <v>230</v>
      </c>
      <c r="C908" s="242" t="s">
        <v>402</v>
      </c>
      <c r="D908" s="242" t="s">
        <v>2055</v>
      </c>
      <c r="E908" s="242"/>
      <c r="F908" s="243">
        <v>3300000</v>
      </c>
      <c r="G908" s="243">
        <v>3300000</v>
      </c>
      <c r="H908" s="243">
        <f t="shared" si="30"/>
        <v>100</v>
      </c>
      <c r="I908" s="123" t="str">
        <f t="shared" si="29"/>
        <v>08040530027241</v>
      </c>
    </row>
    <row r="909" spans="1:9" ht="63.75">
      <c r="A909" s="241" t="s">
        <v>1318</v>
      </c>
      <c r="B909" s="242" t="s">
        <v>230</v>
      </c>
      <c r="C909" s="242" t="s">
        <v>402</v>
      </c>
      <c r="D909" s="242" t="s">
        <v>2055</v>
      </c>
      <c r="E909" s="242" t="s">
        <v>273</v>
      </c>
      <c r="F909" s="243">
        <v>3300000</v>
      </c>
      <c r="G909" s="243">
        <v>3300000</v>
      </c>
      <c r="H909" s="243">
        <f t="shared" si="30"/>
        <v>100</v>
      </c>
      <c r="I909" s="123" t="str">
        <f t="shared" si="29"/>
        <v>08040530027241100</v>
      </c>
    </row>
    <row r="910" spans="1:9">
      <c r="A910" s="241" t="s">
        <v>1190</v>
      </c>
      <c r="B910" s="242" t="s">
        <v>230</v>
      </c>
      <c r="C910" s="242" t="s">
        <v>402</v>
      </c>
      <c r="D910" s="242" t="s">
        <v>2055</v>
      </c>
      <c r="E910" s="242" t="s">
        <v>133</v>
      </c>
      <c r="F910" s="243">
        <v>3300000</v>
      </c>
      <c r="G910" s="243">
        <v>3300000</v>
      </c>
      <c r="H910" s="243">
        <f t="shared" si="30"/>
        <v>100</v>
      </c>
      <c r="I910" s="123" t="str">
        <f t="shared" si="29"/>
        <v>08040530027241110</v>
      </c>
    </row>
    <row r="911" spans="1:9">
      <c r="A911" s="241" t="s">
        <v>1138</v>
      </c>
      <c r="B911" s="242" t="s">
        <v>230</v>
      </c>
      <c r="C911" s="242" t="s">
        <v>402</v>
      </c>
      <c r="D911" s="242" t="s">
        <v>2055</v>
      </c>
      <c r="E911" s="242" t="s">
        <v>342</v>
      </c>
      <c r="F911" s="243">
        <v>2534562</v>
      </c>
      <c r="G911" s="243">
        <v>2534562</v>
      </c>
      <c r="H911" s="243">
        <f t="shared" si="30"/>
        <v>100</v>
      </c>
      <c r="I911" s="123" t="str">
        <f t="shared" si="29"/>
        <v>08040530027241111</v>
      </c>
    </row>
    <row r="912" spans="1:9" ht="38.25">
      <c r="A912" s="241" t="s">
        <v>1139</v>
      </c>
      <c r="B912" s="242" t="s">
        <v>230</v>
      </c>
      <c r="C912" s="242" t="s">
        <v>402</v>
      </c>
      <c r="D912" s="242" t="s">
        <v>2055</v>
      </c>
      <c r="E912" s="242" t="s">
        <v>1056</v>
      </c>
      <c r="F912" s="243">
        <v>765438</v>
      </c>
      <c r="G912" s="243">
        <v>765438</v>
      </c>
      <c r="H912" s="243">
        <f t="shared" si="30"/>
        <v>100</v>
      </c>
      <c r="I912" s="123" t="str">
        <f t="shared" si="29"/>
        <v>08040530027241119</v>
      </c>
    </row>
    <row r="913" spans="1:9" ht="89.25">
      <c r="A913" s="241" t="s">
        <v>2056</v>
      </c>
      <c r="B913" s="242" t="s">
        <v>230</v>
      </c>
      <c r="C913" s="242" t="s">
        <v>402</v>
      </c>
      <c r="D913" s="242" t="s">
        <v>2057</v>
      </c>
      <c r="E913" s="242"/>
      <c r="F913" s="243">
        <v>2764788</v>
      </c>
      <c r="G913" s="243">
        <v>2764788</v>
      </c>
      <c r="H913" s="243">
        <f t="shared" si="30"/>
        <v>100</v>
      </c>
      <c r="I913" s="123" t="str">
        <f t="shared" si="29"/>
        <v>08040530027242</v>
      </c>
    </row>
    <row r="914" spans="1:9" ht="63.75">
      <c r="A914" s="241" t="s">
        <v>1318</v>
      </c>
      <c r="B914" s="242" t="s">
        <v>230</v>
      </c>
      <c r="C914" s="242" t="s">
        <v>402</v>
      </c>
      <c r="D914" s="242" t="s">
        <v>2057</v>
      </c>
      <c r="E914" s="242" t="s">
        <v>273</v>
      </c>
      <c r="F914" s="243">
        <v>2764788</v>
      </c>
      <c r="G914" s="243">
        <v>2764788</v>
      </c>
      <c r="H914" s="243">
        <f t="shared" si="30"/>
        <v>100</v>
      </c>
      <c r="I914" s="123" t="str">
        <f t="shared" si="29"/>
        <v>08040530027242100</v>
      </c>
    </row>
    <row r="915" spans="1:9">
      <c r="A915" s="241" t="s">
        <v>1190</v>
      </c>
      <c r="B915" s="242" t="s">
        <v>230</v>
      </c>
      <c r="C915" s="242" t="s">
        <v>402</v>
      </c>
      <c r="D915" s="242" t="s">
        <v>2057</v>
      </c>
      <c r="E915" s="242" t="s">
        <v>133</v>
      </c>
      <c r="F915" s="243">
        <v>2764788</v>
      </c>
      <c r="G915" s="243">
        <v>2764788</v>
      </c>
      <c r="H915" s="243">
        <f t="shared" si="30"/>
        <v>100</v>
      </c>
      <c r="I915" s="123" t="str">
        <f t="shared" si="29"/>
        <v>08040530027242110</v>
      </c>
    </row>
    <row r="916" spans="1:9">
      <c r="A916" s="241" t="s">
        <v>1138</v>
      </c>
      <c r="B916" s="242" t="s">
        <v>230</v>
      </c>
      <c r="C916" s="242" t="s">
        <v>402</v>
      </c>
      <c r="D916" s="242" t="s">
        <v>2057</v>
      </c>
      <c r="E916" s="242" t="s">
        <v>342</v>
      </c>
      <c r="F916" s="243">
        <v>2123493</v>
      </c>
      <c r="G916" s="243">
        <v>2123493</v>
      </c>
      <c r="H916" s="243">
        <f t="shared" si="30"/>
        <v>100</v>
      </c>
      <c r="I916" s="123" t="str">
        <f t="shared" si="29"/>
        <v>08040530027242111</v>
      </c>
    </row>
    <row r="917" spans="1:9" ht="38.25">
      <c r="A917" s="241" t="s">
        <v>1139</v>
      </c>
      <c r="B917" s="242" t="s">
        <v>230</v>
      </c>
      <c r="C917" s="242" t="s">
        <v>402</v>
      </c>
      <c r="D917" s="242" t="s">
        <v>2057</v>
      </c>
      <c r="E917" s="242" t="s">
        <v>1056</v>
      </c>
      <c r="F917" s="243">
        <v>641295</v>
      </c>
      <c r="G917" s="243">
        <v>641295</v>
      </c>
      <c r="H917" s="243">
        <f t="shared" si="30"/>
        <v>100</v>
      </c>
      <c r="I917" s="123" t="str">
        <f t="shared" si="29"/>
        <v>08040530027242119</v>
      </c>
    </row>
    <row r="918" spans="1:9" ht="102">
      <c r="A918" s="241" t="s">
        <v>509</v>
      </c>
      <c r="B918" s="242" t="s">
        <v>230</v>
      </c>
      <c r="C918" s="242" t="s">
        <v>402</v>
      </c>
      <c r="D918" s="242" t="s">
        <v>703</v>
      </c>
      <c r="E918" s="242"/>
      <c r="F918" s="243">
        <v>44169027.979999997</v>
      </c>
      <c r="G918" s="243">
        <v>44005160.109999999</v>
      </c>
      <c r="H918" s="243">
        <f t="shared" si="30"/>
        <v>99.628998242673134</v>
      </c>
      <c r="I918" s="123" t="str">
        <f t="shared" si="29"/>
        <v>08040530040000</v>
      </c>
    </row>
    <row r="919" spans="1:9" ht="63.75">
      <c r="A919" s="241" t="s">
        <v>1318</v>
      </c>
      <c r="B919" s="242" t="s">
        <v>230</v>
      </c>
      <c r="C919" s="242" t="s">
        <v>402</v>
      </c>
      <c r="D919" s="242" t="s">
        <v>703</v>
      </c>
      <c r="E919" s="242" t="s">
        <v>273</v>
      </c>
      <c r="F919" s="243">
        <v>40888186.729999997</v>
      </c>
      <c r="G919" s="243">
        <v>40845567.100000001</v>
      </c>
      <c r="H919" s="243">
        <f t="shared" si="30"/>
        <v>99.89576541928497</v>
      </c>
      <c r="I919" s="123" t="str">
        <f t="shared" si="29"/>
        <v>08040530040000100</v>
      </c>
    </row>
    <row r="920" spans="1:9">
      <c r="A920" s="241" t="s">
        <v>1190</v>
      </c>
      <c r="B920" s="242" t="s">
        <v>230</v>
      </c>
      <c r="C920" s="242" t="s">
        <v>402</v>
      </c>
      <c r="D920" s="242" t="s">
        <v>703</v>
      </c>
      <c r="E920" s="242" t="s">
        <v>133</v>
      </c>
      <c r="F920" s="243">
        <v>40888186.729999997</v>
      </c>
      <c r="G920" s="243">
        <v>40845567.100000001</v>
      </c>
      <c r="H920" s="243">
        <f t="shared" si="30"/>
        <v>99.89576541928497</v>
      </c>
      <c r="I920" s="123" t="str">
        <f t="shared" si="29"/>
        <v>08040530040000110</v>
      </c>
    </row>
    <row r="921" spans="1:9">
      <c r="A921" s="241" t="s">
        <v>1138</v>
      </c>
      <c r="B921" s="242" t="s">
        <v>230</v>
      </c>
      <c r="C921" s="242" t="s">
        <v>402</v>
      </c>
      <c r="D921" s="242" t="s">
        <v>703</v>
      </c>
      <c r="E921" s="242" t="s">
        <v>342</v>
      </c>
      <c r="F921" s="243">
        <v>31289976</v>
      </c>
      <c r="G921" s="243">
        <v>31255046.140000001</v>
      </c>
      <c r="H921" s="243">
        <f t="shared" si="30"/>
        <v>99.888367252183258</v>
      </c>
      <c r="I921" s="123" t="str">
        <f t="shared" si="29"/>
        <v>08040530040000111</v>
      </c>
    </row>
    <row r="922" spans="1:9" ht="25.5">
      <c r="A922" s="241" t="s">
        <v>1147</v>
      </c>
      <c r="B922" s="242" t="s">
        <v>230</v>
      </c>
      <c r="C922" s="242" t="s">
        <v>402</v>
      </c>
      <c r="D922" s="242" t="s">
        <v>703</v>
      </c>
      <c r="E922" s="242" t="s">
        <v>391</v>
      </c>
      <c r="F922" s="243">
        <v>134871.32999999999</v>
      </c>
      <c r="G922" s="243">
        <v>127279.36</v>
      </c>
      <c r="H922" s="243">
        <f t="shared" si="30"/>
        <v>94.370953411670229</v>
      </c>
      <c r="I922" s="123" t="str">
        <f t="shared" si="29"/>
        <v>08040530040000112</v>
      </c>
    </row>
    <row r="923" spans="1:9">
      <c r="A923" s="241" t="s">
        <v>1963</v>
      </c>
      <c r="B923" s="242" t="s">
        <v>230</v>
      </c>
      <c r="C923" s="242" t="s">
        <v>402</v>
      </c>
      <c r="D923" s="242" t="s">
        <v>703</v>
      </c>
      <c r="E923" s="242" t="s">
        <v>1059</v>
      </c>
      <c r="F923" s="243">
        <v>78307.399999999994</v>
      </c>
      <c r="G923" s="243">
        <v>78209.600000000006</v>
      </c>
      <c r="H923" s="243">
        <f t="shared" si="30"/>
        <v>99.875107588810266</v>
      </c>
      <c r="I923" s="123" t="str">
        <f t="shared" si="29"/>
        <v>08040530040000113</v>
      </c>
    </row>
    <row r="924" spans="1:9" ht="38.25">
      <c r="A924" s="241" t="s">
        <v>1139</v>
      </c>
      <c r="B924" s="242" t="s">
        <v>230</v>
      </c>
      <c r="C924" s="242" t="s">
        <v>402</v>
      </c>
      <c r="D924" s="242" t="s">
        <v>703</v>
      </c>
      <c r="E924" s="242" t="s">
        <v>1056</v>
      </c>
      <c r="F924" s="243">
        <v>9385032</v>
      </c>
      <c r="G924" s="243">
        <v>9385032</v>
      </c>
      <c r="H924" s="243">
        <f t="shared" si="30"/>
        <v>100</v>
      </c>
      <c r="I924" s="123" t="str">
        <f t="shared" si="29"/>
        <v>08040530040000119</v>
      </c>
    </row>
    <row r="925" spans="1:9" ht="25.5">
      <c r="A925" s="241" t="s">
        <v>1319</v>
      </c>
      <c r="B925" s="242" t="s">
        <v>230</v>
      </c>
      <c r="C925" s="242" t="s">
        <v>402</v>
      </c>
      <c r="D925" s="242" t="s">
        <v>703</v>
      </c>
      <c r="E925" s="242" t="s">
        <v>1320</v>
      </c>
      <c r="F925" s="243">
        <v>3220480.34</v>
      </c>
      <c r="G925" s="243">
        <v>3118788.98</v>
      </c>
      <c r="H925" s="243">
        <f t="shared" si="30"/>
        <v>96.842354268183485</v>
      </c>
      <c r="I925" s="123" t="str">
        <f t="shared" si="29"/>
        <v>08040530040000200</v>
      </c>
    </row>
    <row r="926" spans="1:9" ht="25.5">
      <c r="A926" s="241" t="s">
        <v>1196</v>
      </c>
      <c r="B926" s="242" t="s">
        <v>230</v>
      </c>
      <c r="C926" s="242" t="s">
        <v>402</v>
      </c>
      <c r="D926" s="242" t="s">
        <v>703</v>
      </c>
      <c r="E926" s="242" t="s">
        <v>1197</v>
      </c>
      <c r="F926" s="243">
        <v>3220480.34</v>
      </c>
      <c r="G926" s="243">
        <v>3118788.98</v>
      </c>
      <c r="H926" s="243">
        <f t="shared" si="30"/>
        <v>96.842354268183485</v>
      </c>
      <c r="I926" s="123" t="str">
        <f t="shared" si="29"/>
        <v>08040530040000240</v>
      </c>
    </row>
    <row r="927" spans="1:9">
      <c r="A927" s="241" t="s">
        <v>1223</v>
      </c>
      <c r="B927" s="242" t="s">
        <v>230</v>
      </c>
      <c r="C927" s="242" t="s">
        <v>402</v>
      </c>
      <c r="D927" s="242" t="s">
        <v>703</v>
      </c>
      <c r="E927" s="242" t="s">
        <v>329</v>
      </c>
      <c r="F927" s="243">
        <v>3220480.34</v>
      </c>
      <c r="G927" s="243">
        <v>3118788.98</v>
      </c>
      <c r="H927" s="243">
        <f t="shared" si="30"/>
        <v>96.842354268183485</v>
      </c>
      <c r="I927" s="123" t="str">
        <f t="shared" si="29"/>
        <v>08040530040000244</v>
      </c>
    </row>
    <row r="928" spans="1:9">
      <c r="A928" s="241" t="s">
        <v>1323</v>
      </c>
      <c r="B928" s="242" t="s">
        <v>230</v>
      </c>
      <c r="C928" s="242" t="s">
        <v>402</v>
      </c>
      <c r="D928" s="242" t="s">
        <v>703</v>
      </c>
      <c r="E928" s="242" t="s">
        <v>1324</v>
      </c>
      <c r="F928" s="243">
        <v>46816</v>
      </c>
      <c r="G928" s="243">
        <v>36176.17</v>
      </c>
      <c r="H928" s="243">
        <f t="shared" si="30"/>
        <v>77.273090396445653</v>
      </c>
      <c r="I928" s="123" t="str">
        <f t="shared" si="29"/>
        <v>08040530040000300</v>
      </c>
    </row>
    <row r="929" spans="1:9" ht="25.5">
      <c r="A929" s="241" t="s">
        <v>1200</v>
      </c>
      <c r="B929" s="242" t="s">
        <v>230</v>
      </c>
      <c r="C929" s="242" t="s">
        <v>402</v>
      </c>
      <c r="D929" s="242" t="s">
        <v>703</v>
      </c>
      <c r="E929" s="242" t="s">
        <v>557</v>
      </c>
      <c r="F929" s="243">
        <v>46816</v>
      </c>
      <c r="G929" s="243">
        <v>36176.17</v>
      </c>
      <c r="H929" s="243">
        <f t="shared" si="30"/>
        <v>77.273090396445653</v>
      </c>
      <c r="I929" s="123" t="str">
        <f t="shared" si="29"/>
        <v>08040530040000320</v>
      </c>
    </row>
    <row r="930" spans="1:9" ht="25.5">
      <c r="A930" s="241" t="s">
        <v>379</v>
      </c>
      <c r="B930" s="242" t="s">
        <v>230</v>
      </c>
      <c r="C930" s="242" t="s">
        <v>402</v>
      </c>
      <c r="D930" s="242" t="s">
        <v>703</v>
      </c>
      <c r="E930" s="242" t="s">
        <v>380</v>
      </c>
      <c r="F930" s="243">
        <v>46816</v>
      </c>
      <c r="G930" s="243">
        <v>36176.17</v>
      </c>
      <c r="H930" s="243">
        <f t="shared" si="30"/>
        <v>77.273090396445653</v>
      </c>
      <c r="I930" s="123" t="str">
        <f t="shared" si="29"/>
        <v>08040530040000321</v>
      </c>
    </row>
    <row r="931" spans="1:9">
      <c r="A931" s="241" t="s">
        <v>1321</v>
      </c>
      <c r="B931" s="242" t="s">
        <v>230</v>
      </c>
      <c r="C931" s="242" t="s">
        <v>402</v>
      </c>
      <c r="D931" s="242" t="s">
        <v>703</v>
      </c>
      <c r="E931" s="242" t="s">
        <v>1322</v>
      </c>
      <c r="F931" s="243">
        <v>13544.91</v>
      </c>
      <c r="G931" s="243">
        <v>4627.8599999999997</v>
      </c>
      <c r="H931" s="243">
        <f t="shared" si="30"/>
        <v>34.166782946509059</v>
      </c>
      <c r="I931" s="123" t="str">
        <f t="shared" si="29"/>
        <v>08040530040000800</v>
      </c>
    </row>
    <row r="932" spans="1:9">
      <c r="A932" s="241" t="s">
        <v>1201</v>
      </c>
      <c r="B932" s="242" t="s">
        <v>230</v>
      </c>
      <c r="C932" s="242" t="s">
        <v>402</v>
      </c>
      <c r="D932" s="242" t="s">
        <v>703</v>
      </c>
      <c r="E932" s="242" t="s">
        <v>1202</v>
      </c>
      <c r="F932" s="243">
        <v>13544.91</v>
      </c>
      <c r="G932" s="243">
        <v>4627.8599999999997</v>
      </c>
      <c r="H932" s="243">
        <f t="shared" si="30"/>
        <v>34.166782946509059</v>
      </c>
      <c r="I932" s="123" t="str">
        <f t="shared" si="29"/>
        <v>08040530040000850</v>
      </c>
    </row>
    <row r="933" spans="1:9">
      <c r="A933" s="241" t="s">
        <v>2092</v>
      </c>
      <c r="B933" s="242" t="s">
        <v>230</v>
      </c>
      <c r="C933" s="242" t="s">
        <v>402</v>
      </c>
      <c r="D933" s="242" t="s">
        <v>703</v>
      </c>
      <c r="E933" s="242" t="s">
        <v>2093</v>
      </c>
      <c r="F933" s="243">
        <v>4582.95</v>
      </c>
      <c r="G933" s="243">
        <v>4582.95</v>
      </c>
      <c r="H933" s="243">
        <f t="shared" si="30"/>
        <v>100</v>
      </c>
      <c r="I933" s="123" t="str">
        <f t="shared" si="29"/>
        <v>08040530040000852</v>
      </c>
    </row>
    <row r="934" spans="1:9">
      <c r="A934" s="241" t="s">
        <v>1057</v>
      </c>
      <c r="B934" s="242" t="s">
        <v>230</v>
      </c>
      <c r="C934" s="242" t="s">
        <v>402</v>
      </c>
      <c r="D934" s="242" t="s">
        <v>703</v>
      </c>
      <c r="E934" s="242" t="s">
        <v>1058</v>
      </c>
      <c r="F934" s="243">
        <v>8961.9599999999991</v>
      </c>
      <c r="G934" s="243">
        <v>44.91</v>
      </c>
      <c r="H934" s="243">
        <f t="shared" si="30"/>
        <v>0.50111805899602324</v>
      </c>
      <c r="I934" s="123" t="str">
        <f t="shared" si="29"/>
        <v>08040530040000853</v>
      </c>
    </row>
    <row r="935" spans="1:9" ht="127.5">
      <c r="A935" s="241" t="s">
        <v>510</v>
      </c>
      <c r="B935" s="242" t="s">
        <v>230</v>
      </c>
      <c r="C935" s="242" t="s">
        <v>402</v>
      </c>
      <c r="D935" s="242" t="s">
        <v>704</v>
      </c>
      <c r="E935" s="242"/>
      <c r="F935" s="243">
        <v>57315000</v>
      </c>
      <c r="G935" s="243">
        <v>57076843.090000004</v>
      </c>
      <c r="H935" s="243">
        <f t="shared" si="30"/>
        <v>99.584477170025309</v>
      </c>
      <c r="I935" s="123" t="str">
        <f t="shared" ref="I935:I998" si="31">CONCATENATE(C935,D935,E935)</f>
        <v>08040530041000</v>
      </c>
    </row>
    <row r="936" spans="1:9" ht="63.75">
      <c r="A936" s="241" t="s">
        <v>1318</v>
      </c>
      <c r="B936" s="242" t="s">
        <v>230</v>
      </c>
      <c r="C936" s="242" t="s">
        <v>402</v>
      </c>
      <c r="D936" s="242" t="s">
        <v>704</v>
      </c>
      <c r="E936" s="242" t="s">
        <v>273</v>
      </c>
      <c r="F936" s="243">
        <v>57315000</v>
      </c>
      <c r="G936" s="243">
        <v>57076843.090000004</v>
      </c>
      <c r="H936" s="243">
        <f t="shared" si="30"/>
        <v>99.584477170025309</v>
      </c>
      <c r="I936" s="123" t="str">
        <f t="shared" si="31"/>
        <v>08040530041000100</v>
      </c>
    </row>
    <row r="937" spans="1:9">
      <c r="A937" s="241" t="s">
        <v>1190</v>
      </c>
      <c r="B937" s="242" t="s">
        <v>230</v>
      </c>
      <c r="C937" s="242" t="s">
        <v>402</v>
      </c>
      <c r="D937" s="242" t="s">
        <v>704</v>
      </c>
      <c r="E937" s="242" t="s">
        <v>133</v>
      </c>
      <c r="F937" s="243">
        <v>57315000</v>
      </c>
      <c r="G937" s="243">
        <v>57076843.090000004</v>
      </c>
      <c r="H937" s="243">
        <f t="shared" si="30"/>
        <v>99.584477170025309</v>
      </c>
      <c r="I937" s="123" t="str">
        <f t="shared" si="31"/>
        <v>08040530041000110</v>
      </c>
    </row>
    <row r="938" spans="1:9">
      <c r="A938" s="241" t="s">
        <v>1138</v>
      </c>
      <c r="B938" s="242" t="s">
        <v>230</v>
      </c>
      <c r="C938" s="242" t="s">
        <v>402</v>
      </c>
      <c r="D938" s="242" t="s">
        <v>704</v>
      </c>
      <c r="E938" s="242" t="s">
        <v>342</v>
      </c>
      <c r="F938" s="243">
        <v>44020737</v>
      </c>
      <c r="G938" s="243">
        <v>43849511.630000003</v>
      </c>
      <c r="H938" s="243">
        <f t="shared" si="30"/>
        <v>99.611034749372777</v>
      </c>
      <c r="I938" s="123" t="str">
        <f t="shared" si="31"/>
        <v>08040530041000111</v>
      </c>
    </row>
    <row r="939" spans="1:9" ht="38.25">
      <c r="A939" s="241" t="s">
        <v>1139</v>
      </c>
      <c r="B939" s="242" t="s">
        <v>230</v>
      </c>
      <c r="C939" s="242" t="s">
        <v>402</v>
      </c>
      <c r="D939" s="242" t="s">
        <v>704</v>
      </c>
      <c r="E939" s="242" t="s">
        <v>1056</v>
      </c>
      <c r="F939" s="243">
        <v>13294263</v>
      </c>
      <c r="G939" s="243">
        <v>13227331.460000001</v>
      </c>
      <c r="H939" s="243">
        <f t="shared" si="30"/>
        <v>99.496538168381363</v>
      </c>
      <c r="I939" s="123" t="str">
        <f t="shared" si="31"/>
        <v>08040530041000119</v>
      </c>
    </row>
    <row r="940" spans="1:9" ht="89.25">
      <c r="A940" s="241" t="s">
        <v>511</v>
      </c>
      <c r="B940" s="242" t="s">
        <v>230</v>
      </c>
      <c r="C940" s="242" t="s">
        <v>402</v>
      </c>
      <c r="D940" s="242" t="s">
        <v>706</v>
      </c>
      <c r="E940" s="242"/>
      <c r="F940" s="243">
        <v>410385.62</v>
      </c>
      <c r="G940" s="243">
        <v>410385.62</v>
      </c>
      <c r="H940" s="243">
        <f t="shared" si="30"/>
        <v>100</v>
      </c>
      <c r="I940" s="123" t="str">
        <f t="shared" si="31"/>
        <v>08040530047000</v>
      </c>
    </row>
    <row r="941" spans="1:9" ht="63.75">
      <c r="A941" s="241" t="s">
        <v>1318</v>
      </c>
      <c r="B941" s="242" t="s">
        <v>230</v>
      </c>
      <c r="C941" s="242" t="s">
        <v>402</v>
      </c>
      <c r="D941" s="242" t="s">
        <v>706</v>
      </c>
      <c r="E941" s="242" t="s">
        <v>273</v>
      </c>
      <c r="F941" s="243">
        <v>410385.62</v>
      </c>
      <c r="G941" s="243">
        <v>410385.62</v>
      </c>
      <c r="H941" s="243">
        <f t="shared" si="30"/>
        <v>100</v>
      </c>
      <c r="I941" s="123" t="str">
        <f t="shared" si="31"/>
        <v>08040530047000100</v>
      </c>
    </row>
    <row r="942" spans="1:9">
      <c r="A942" s="241" t="s">
        <v>1190</v>
      </c>
      <c r="B942" s="242" t="s">
        <v>230</v>
      </c>
      <c r="C942" s="242" t="s">
        <v>402</v>
      </c>
      <c r="D942" s="242" t="s">
        <v>706</v>
      </c>
      <c r="E942" s="242" t="s">
        <v>133</v>
      </c>
      <c r="F942" s="243">
        <v>410385.62</v>
      </c>
      <c r="G942" s="243">
        <v>410385.62</v>
      </c>
      <c r="H942" s="243">
        <f t="shared" si="30"/>
        <v>100</v>
      </c>
      <c r="I942" s="123" t="str">
        <f t="shared" si="31"/>
        <v>08040530047000110</v>
      </c>
    </row>
    <row r="943" spans="1:9" ht="25.5">
      <c r="A943" s="241" t="s">
        <v>1147</v>
      </c>
      <c r="B943" s="242" t="s">
        <v>230</v>
      </c>
      <c r="C943" s="242" t="s">
        <v>402</v>
      </c>
      <c r="D943" s="242" t="s">
        <v>706</v>
      </c>
      <c r="E943" s="242" t="s">
        <v>391</v>
      </c>
      <c r="F943" s="243">
        <v>410385.62</v>
      </c>
      <c r="G943" s="243">
        <v>410385.62</v>
      </c>
      <c r="H943" s="243">
        <f t="shared" si="30"/>
        <v>100</v>
      </c>
      <c r="I943" s="123" t="str">
        <f t="shared" si="31"/>
        <v>08040530047000112</v>
      </c>
    </row>
    <row r="944" spans="1:9" ht="102">
      <c r="A944" s="241" t="s">
        <v>567</v>
      </c>
      <c r="B944" s="242" t="s">
        <v>230</v>
      </c>
      <c r="C944" s="242" t="s">
        <v>402</v>
      </c>
      <c r="D944" s="242" t="s">
        <v>707</v>
      </c>
      <c r="E944" s="242"/>
      <c r="F944" s="243">
        <v>602438.52</v>
      </c>
      <c r="G944" s="243">
        <v>600880.85</v>
      </c>
      <c r="H944" s="243">
        <f t="shared" si="30"/>
        <v>99.741439176233285</v>
      </c>
      <c r="I944" s="123" t="str">
        <f t="shared" si="31"/>
        <v>0804053004Г000</v>
      </c>
    </row>
    <row r="945" spans="1:9" ht="25.5">
      <c r="A945" s="241" t="s">
        <v>1319</v>
      </c>
      <c r="B945" s="242" t="s">
        <v>230</v>
      </c>
      <c r="C945" s="242" t="s">
        <v>402</v>
      </c>
      <c r="D945" s="242" t="s">
        <v>707</v>
      </c>
      <c r="E945" s="242" t="s">
        <v>1320</v>
      </c>
      <c r="F945" s="243">
        <v>602438.52</v>
      </c>
      <c r="G945" s="243">
        <v>600880.85</v>
      </c>
      <c r="H945" s="243">
        <f t="shared" si="30"/>
        <v>99.741439176233285</v>
      </c>
      <c r="I945" s="123" t="str">
        <f t="shared" si="31"/>
        <v>0804053004Г000200</v>
      </c>
    </row>
    <row r="946" spans="1:9" ht="25.5">
      <c r="A946" s="241" t="s">
        <v>1196</v>
      </c>
      <c r="B946" s="242" t="s">
        <v>230</v>
      </c>
      <c r="C946" s="242" t="s">
        <v>402</v>
      </c>
      <c r="D946" s="242" t="s">
        <v>707</v>
      </c>
      <c r="E946" s="242" t="s">
        <v>1197</v>
      </c>
      <c r="F946" s="243">
        <v>602438.52</v>
      </c>
      <c r="G946" s="243">
        <v>600880.85</v>
      </c>
      <c r="H946" s="243">
        <f t="shared" si="30"/>
        <v>99.741439176233285</v>
      </c>
      <c r="I946" s="123" t="str">
        <f t="shared" si="31"/>
        <v>0804053004Г000240</v>
      </c>
    </row>
    <row r="947" spans="1:9">
      <c r="A947" s="241" t="s">
        <v>1223</v>
      </c>
      <c r="B947" s="242" t="s">
        <v>230</v>
      </c>
      <c r="C947" s="242" t="s">
        <v>402</v>
      </c>
      <c r="D947" s="242" t="s">
        <v>707</v>
      </c>
      <c r="E947" s="242" t="s">
        <v>329</v>
      </c>
      <c r="F947" s="243">
        <v>14100</v>
      </c>
      <c r="G947" s="243">
        <v>12560.81</v>
      </c>
      <c r="H947" s="243">
        <f t="shared" si="30"/>
        <v>89.083758865248214</v>
      </c>
      <c r="I947" s="123" t="str">
        <f t="shared" si="31"/>
        <v>0804053004Г000244</v>
      </c>
    </row>
    <row r="948" spans="1:9">
      <c r="A948" s="241" t="s">
        <v>1699</v>
      </c>
      <c r="B948" s="242" t="s">
        <v>230</v>
      </c>
      <c r="C948" s="242" t="s">
        <v>402</v>
      </c>
      <c r="D948" s="242" t="s">
        <v>707</v>
      </c>
      <c r="E948" s="242" t="s">
        <v>1700</v>
      </c>
      <c r="F948" s="243">
        <v>588338.52</v>
      </c>
      <c r="G948" s="243">
        <v>588320.04</v>
      </c>
      <c r="H948" s="243">
        <f t="shared" si="30"/>
        <v>99.996858951203819</v>
      </c>
      <c r="I948" s="123" t="str">
        <f t="shared" si="31"/>
        <v>0804053004Г000247</v>
      </c>
    </row>
    <row r="949" spans="1:9" ht="63.75">
      <c r="A949" s="241" t="s">
        <v>1627</v>
      </c>
      <c r="B949" s="242" t="s">
        <v>230</v>
      </c>
      <c r="C949" s="242" t="s">
        <v>402</v>
      </c>
      <c r="D949" s="242" t="s">
        <v>1628</v>
      </c>
      <c r="E949" s="242"/>
      <c r="F949" s="243">
        <v>33759.33</v>
      </c>
      <c r="G949" s="243">
        <v>33759.33</v>
      </c>
      <c r="H949" s="243">
        <f t="shared" si="30"/>
        <v>100</v>
      </c>
      <c r="I949" s="123" t="str">
        <f t="shared" si="31"/>
        <v>0804053004М000</v>
      </c>
    </row>
    <row r="950" spans="1:9" ht="25.5">
      <c r="A950" s="241" t="s">
        <v>1319</v>
      </c>
      <c r="B950" s="242" t="s">
        <v>230</v>
      </c>
      <c r="C950" s="242" t="s">
        <v>402</v>
      </c>
      <c r="D950" s="242" t="s">
        <v>1628</v>
      </c>
      <c r="E950" s="242" t="s">
        <v>1320</v>
      </c>
      <c r="F950" s="243">
        <v>33759.33</v>
      </c>
      <c r="G950" s="243">
        <v>33759.33</v>
      </c>
      <c r="H950" s="243">
        <f t="shared" si="30"/>
        <v>100</v>
      </c>
      <c r="I950" s="123" t="str">
        <f t="shared" si="31"/>
        <v>0804053004М000200</v>
      </c>
    </row>
    <row r="951" spans="1:9" ht="25.5">
      <c r="A951" s="241" t="s">
        <v>1196</v>
      </c>
      <c r="B951" s="242" t="s">
        <v>230</v>
      </c>
      <c r="C951" s="242" t="s">
        <v>402</v>
      </c>
      <c r="D951" s="242" t="s">
        <v>1628</v>
      </c>
      <c r="E951" s="242" t="s">
        <v>1197</v>
      </c>
      <c r="F951" s="243">
        <v>33759.33</v>
      </c>
      <c r="G951" s="243">
        <v>33759.33</v>
      </c>
      <c r="H951" s="243">
        <f t="shared" si="30"/>
        <v>100</v>
      </c>
      <c r="I951" s="123" t="str">
        <f t="shared" si="31"/>
        <v>0804053004М000240</v>
      </c>
    </row>
    <row r="952" spans="1:9">
      <c r="A952" s="241" t="s">
        <v>1223</v>
      </c>
      <c r="B952" s="242" t="s">
        <v>230</v>
      </c>
      <c r="C952" s="242" t="s">
        <v>402</v>
      </c>
      <c r="D952" s="242" t="s">
        <v>1628</v>
      </c>
      <c r="E952" s="242" t="s">
        <v>329</v>
      </c>
      <c r="F952" s="243">
        <v>33759.33</v>
      </c>
      <c r="G952" s="243">
        <v>33759.33</v>
      </c>
      <c r="H952" s="243">
        <f t="shared" si="30"/>
        <v>100</v>
      </c>
      <c r="I952" s="123" t="str">
        <f t="shared" si="31"/>
        <v>0804053004М000244</v>
      </c>
    </row>
    <row r="953" spans="1:9" ht="63.75">
      <c r="A953" s="241" t="s">
        <v>1777</v>
      </c>
      <c r="B953" s="242" t="s">
        <v>230</v>
      </c>
      <c r="C953" s="242" t="s">
        <v>402</v>
      </c>
      <c r="D953" s="242" t="s">
        <v>1778</v>
      </c>
      <c r="E953" s="242"/>
      <c r="F953" s="243">
        <v>75035</v>
      </c>
      <c r="G953" s="243">
        <v>75035</v>
      </c>
      <c r="H953" s="243">
        <f t="shared" si="30"/>
        <v>100</v>
      </c>
      <c r="I953" s="123" t="str">
        <f t="shared" si="31"/>
        <v>0804053004Ф000</v>
      </c>
    </row>
    <row r="954" spans="1:9" ht="25.5">
      <c r="A954" s="241" t="s">
        <v>1319</v>
      </c>
      <c r="B954" s="242" t="s">
        <v>230</v>
      </c>
      <c r="C954" s="242" t="s">
        <v>402</v>
      </c>
      <c r="D954" s="242" t="s">
        <v>1778</v>
      </c>
      <c r="E954" s="242" t="s">
        <v>1320</v>
      </c>
      <c r="F954" s="243">
        <v>75035</v>
      </c>
      <c r="G954" s="243">
        <v>75035</v>
      </c>
      <c r="H954" s="243">
        <f t="shared" si="30"/>
        <v>100</v>
      </c>
      <c r="I954" s="123" t="str">
        <f t="shared" si="31"/>
        <v>0804053004Ф000200</v>
      </c>
    </row>
    <row r="955" spans="1:9" ht="25.5">
      <c r="A955" s="241" t="s">
        <v>1196</v>
      </c>
      <c r="B955" s="242" t="s">
        <v>230</v>
      </c>
      <c r="C955" s="242" t="s">
        <v>402</v>
      </c>
      <c r="D955" s="242" t="s">
        <v>1778</v>
      </c>
      <c r="E955" s="242" t="s">
        <v>1197</v>
      </c>
      <c r="F955" s="243">
        <v>75035</v>
      </c>
      <c r="G955" s="243">
        <v>75035</v>
      </c>
      <c r="H955" s="243">
        <f t="shared" si="30"/>
        <v>100</v>
      </c>
      <c r="I955" s="123" t="str">
        <f t="shared" si="31"/>
        <v>0804053004Ф000240</v>
      </c>
    </row>
    <row r="956" spans="1:9">
      <c r="A956" s="241" t="s">
        <v>1223</v>
      </c>
      <c r="B956" s="242" t="s">
        <v>230</v>
      </c>
      <c r="C956" s="242" t="s">
        <v>402</v>
      </c>
      <c r="D956" s="242" t="s">
        <v>1778</v>
      </c>
      <c r="E956" s="242" t="s">
        <v>329</v>
      </c>
      <c r="F956" s="243">
        <v>75035</v>
      </c>
      <c r="G956" s="243">
        <v>75035</v>
      </c>
      <c r="H956" s="243">
        <f t="shared" si="30"/>
        <v>100</v>
      </c>
      <c r="I956" s="123" t="str">
        <f t="shared" si="31"/>
        <v>0804053004Ф000244</v>
      </c>
    </row>
    <row r="957" spans="1:9" ht="89.25">
      <c r="A957" s="241" t="s">
        <v>956</v>
      </c>
      <c r="B957" s="242" t="s">
        <v>230</v>
      </c>
      <c r="C957" s="242" t="s">
        <v>402</v>
      </c>
      <c r="D957" s="242" t="s">
        <v>957</v>
      </c>
      <c r="E957" s="242"/>
      <c r="F957" s="243">
        <v>200000</v>
      </c>
      <c r="G957" s="243">
        <v>182354.48</v>
      </c>
      <c r="H957" s="243">
        <f t="shared" si="30"/>
        <v>91.177239999999998</v>
      </c>
      <c r="I957" s="123" t="str">
        <f t="shared" si="31"/>
        <v>0804053004Э000</v>
      </c>
    </row>
    <row r="958" spans="1:9" ht="25.5">
      <c r="A958" s="241" t="s">
        <v>1319</v>
      </c>
      <c r="B958" s="242" t="s">
        <v>230</v>
      </c>
      <c r="C958" s="242" t="s">
        <v>402</v>
      </c>
      <c r="D958" s="242" t="s">
        <v>957</v>
      </c>
      <c r="E958" s="242" t="s">
        <v>1320</v>
      </c>
      <c r="F958" s="243">
        <v>200000</v>
      </c>
      <c r="G958" s="243">
        <v>182354.48</v>
      </c>
      <c r="H958" s="243">
        <f t="shared" si="30"/>
        <v>91.177239999999998</v>
      </c>
      <c r="I958" s="123" t="str">
        <f t="shared" si="31"/>
        <v>0804053004Э000200</v>
      </c>
    </row>
    <row r="959" spans="1:9" ht="25.5">
      <c r="A959" s="241" t="s">
        <v>1196</v>
      </c>
      <c r="B959" s="242" t="s">
        <v>230</v>
      </c>
      <c r="C959" s="242" t="s">
        <v>402</v>
      </c>
      <c r="D959" s="242" t="s">
        <v>957</v>
      </c>
      <c r="E959" s="242" t="s">
        <v>1197</v>
      </c>
      <c r="F959" s="243">
        <v>200000</v>
      </c>
      <c r="G959" s="243">
        <v>182354.48</v>
      </c>
      <c r="H959" s="243">
        <f t="shared" si="30"/>
        <v>91.177239999999998</v>
      </c>
      <c r="I959" s="123" t="str">
        <f t="shared" si="31"/>
        <v>0804053004Э000240</v>
      </c>
    </row>
    <row r="960" spans="1:9">
      <c r="A960" s="241" t="s">
        <v>1699</v>
      </c>
      <c r="B960" s="242" t="s">
        <v>230</v>
      </c>
      <c r="C960" s="242" t="s">
        <v>402</v>
      </c>
      <c r="D960" s="242" t="s">
        <v>957</v>
      </c>
      <c r="E960" s="242" t="s">
        <v>1700</v>
      </c>
      <c r="F960" s="243">
        <v>200000</v>
      </c>
      <c r="G960" s="243">
        <v>182354.48</v>
      </c>
      <c r="H960" s="243">
        <f t="shared" si="30"/>
        <v>91.177239999999998</v>
      </c>
      <c r="I960" s="123" t="str">
        <f t="shared" si="31"/>
        <v>0804053004Э000247</v>
      </c>
    </row>
    <row r="961" spans="1:9">
      <c r="A961" s="241" t="s">
        <v>248</v>
      </c>
      <c r="B961" s="242" t="s">
        <v>230</v>
      </c>
      <c r="C961" s="242" t="s">
        <v>1144</v>
      </c>
      <c r="D961" s="242"/>
      <c r="E961" s="242"/>
      <c r="F961" s="243">
        <v>20619232.18</v>
      </c>
      <c r="G961" s="243">
        <v>19931755.219999999</v>
      </c>
      <c r="H961" s="243">
        <f t="shared" si="30"/>
        <v>96.665845973319847</v>
      </c>
      <c r="I961" s="123" t="str">
        <f t="shared" si="31"/>
        <v>1100</v>
      </c>
    </row>
    <row r="962" spans="1:9">
      <c r="A962" s="241" t="s">
        <v>1228</v>
      </c>
      <c r="B962" s="242" t="s">
        <v>230</v>
      </c>
      <c r="C962" s="242" t="s">
        <v>1229</v>
      </c>
      <c r="D962" s="242"/>
      <c r="E962" s="242"/>
      <c r="F962" s="243">
        <v>19086469.27</v>
      </c>
      <c r="G962" s="243">
        <v>18398992.309999999</v>
      </c>
      <c r="H962" s="243">
        <f t="shared" si="30"/>
        <v>96.39809254255016</v>
      </c>
      <c r="I962" s="123" t="str">
        <f t="shared" si="31"/>
        <v>1101</v>
      </c>
    </row>
    <row r="963" spans="1:9" ht="25.5">
      <c r="A963" s="241" t="s">
        <v>1351</v>
      </c>
      <c r="B963" s="242" t="s">
        <v>230</v>
      </c>
      <c r="C963" s="242" t="s">
        <v>1229</v>
      </c>
      <c r="D963" s="242" t="s">
        <v>988</v>
      </c>
      <c r="E963" s="242"/>
      <c r="F963" s="243">
        <v>19086469.27</v>
      </c>
      <c r="G963" s="243">
        <v>18398992.309999999</v>
      </c>
      <c r="H963" s="243">
        <f t="shared" si="30"/>
        <v>96.39809254255016</v>
      </c>
      <c r="I963" s="123" t="str">
        <f t="shared" si="31"/>
        <v>11010700000000</v>
      </c>
    </row>
    <row r="964" spans="1:9" ht="25.5">
      <c r="A964" s="241" t="s">
        <v>475</v>
      </c>
      <c r="B964" s="242" t="s">
        <v>230</v>
      </c>
      <c r="C964" s="242" t="s">
        <v>1229</v>
      </c>
      <c r="D964" s="242" t="s">
        <v>989</v>
      </c>
      <c r="E964" s="242"/>
      <c r="F964" s="243">
        <v>19086469.27</v>
      </c>
      <c r="G964" s="243">
        <v>18398992.309999999</v>
      </c>
      <c r="H964" s="243">
        <f t="shared" si="30"/>
        <v>96.39809254255016</v>
      </c>
      <c r="I964" s="123" t="str">
        <f t="shared" si="31"/>
        <v>11010710000000</v>
      </c>
    </row>
    <row r="965" spans="1:9" ht="127.5">
      <c r="A965" s="241" t="s">
        <v>2078</v>
      </c>
      <c r="B965" s="242" t="s">
        <v>230</v>
      </c>
      <c r="C965" s="242" t="s">
        <v>1229</v>
      </c>
      <c r="D965" s="242" t="s">
        <v>2079</v>
      </c>
      <c r="E965" s="242"/>
      <c r="F965" s="243">
        <v>800000</v>
      </c>
      <c r="G965" s="243">
        <v>800000</v>
      </c>
      <c r="H965" s="243">
        <f t="shared" si="30"/>
        <v>100</v>
      </c>
      <c r="I965" s="123" t="str">
        <f t="shared" si="31"/>
        <v>11010710027241</v>
      </c>
    </row>
    <row r="966" spans="1:9" ht="25.5">
      <c r="A966" s="241" t="s">
        <v>1327</v>
      </c>
      <c r="B966" s="242" t="s">
        <v>230</v>
      </c>
      <c r="C966" s="242" t="s">
        <v>1229</v>
      </c>
      <c r="D966" s="242" t="s">
        <v>2079</v>
      </c>
      <c r="E966" s="242" t="s">
        <v>1328</v>
      </c>
      <c r="F966" s="243">
        <v>800000</v>
      </c>
      <c r="G966" s="243">
        <v>800000</v>
      </c>
      <c r="H966" s="243">
        <f t="shared" ref="H966:H1029" si="32">G966/F966*100</f>
        <v>100</v>
      </c>
      <c r="I966" s="123" t="str">
        <f t="shared" si="31"/>
        <v>11010710027241600</v>
      </c>
    </row>
    <row r="967" spans="1:9">
      <c r="A967" s="241" t="s">
        <v>1198</v>
      </c>
      <c r="B967" s="242" t="s">
        <v>230</v>
      </c>
      <c r="C967" s="242" t="s">
        <v>1229</v>
      </c>
      <c r="D967" s="242" t="s">
        <v>2079</v>
      </c>
      <c r="E967" s="242" t="s">
        <v>1199</v>
      </c>
      <c r="F967" s="243">
        <v>800000</v>
      </c>
      <c r="G967" s="243">
        <v>800000</v>
      </c>
      <c r="H967" s="243">
        <f t="shared" si="32"/>
        <v>100</v>
      </c>
      <c r="I967" s="123" t="str">
        <f t="shared" si="31"/>
        <v>11010710027241610</v>
      </c>
    </row>
    <row r="968" spans="1:9" ht="51">
      <c r="A968" s="241" t="s">
        <v>347</v>
      </c>
      <c r="B968" s="242" t="s">
        <v>230</v>
      </c>
      <c r="C968" s="242" t="s">
        <v>1229</v>
      </c>
      <c r="D968" s="242" t="s">
        <v>2079</v>
      </c>
      <c r="E968" s="242" t="s">
        <v>348</v>
      </c>
      <c r="F968" s="243">
        <v>800000</v>
      </c>
      <c r="G968" s="243">
        <v>800000</v>
      </c>
      <c r="H968" s="243">
        <f t="shared" si="32"/>
        <v>100</v>
      </c>
      <c r="I968" s="123" t="str">
        <f t="shared" si="31"/>
        <v>11010710027241611</v>
      </c>
    </row>
    <row r="969" spans="1:9" ht="89.25">
      <c r="A969" s="241" t="s">
        <v>2080</v>
      </c>
      <c r="B969" s="242" t="s">
        <v>230</v>
      </c>
      <c r="C969" s="242" t="s">
        <v>1229</v>
      </c>
      <c r="D969" s="242" t="s">
        <v>2081</v>
      </c>
      <c r="E969" s="242"/>
      <c r="F969" s="243">
        <v>840421</v>
      </c>
      <c r="G969" s="243">
        <v>840421</v>
      </c>
      <c r="H969" s="243">
        <f t="shared" si="32"/>
        <v>100</v>
      </c>
      <c r="I969" s="123" t="str">
        <f t="shared" si="31"/>
        <v>11010710027242</v>
      </c>
    </row>
    <row r="970" spans="1:9" ht="25.5">
      <c r="A970" s="241" t="s">
        <v>1327</v>
      </c>
      <c r="B970" s="242" t="s">
        <v>230</v>
      </c>
      <c r="C970" s="242" t="s">
        <v>1229</v>
      </c>
      <c r="D970" s="242" t="s">
        <v>2081</v>
      </c>
      <c r="E970" s="242" t="s">
        <v>1328</v>
      </c>
      <c r="F970" s="243">
        <v>840421</v>
      </c>
      <c r="G970" s="243">
        <v>840421</v>
      </c>
      <c r="H970" s="243">
        <f t="shared" si="32"/>
        <v>100</v>
      </c>
      <c r="I970" s="123" t="str">
        <f t="shared" si="31"/>
        <v>11010710027242600</v>
      </c>
    </row>
    <row r="971" spans="1:9">
      <c r="A971" s="241" t="s">
        <v>1198</v>
      </c>
      <c r="B971" s="242" t="s">
        <v>230</v>
      </c>
      <c r="C971" s="242" t="s">
        <v>1229</v>
      </c>
      <c r="D971" s="242" t="s">
        <v>2081</v>
      </c>
      <c r="E971" s="242" t="s">
        <v>1199</v>
      </c>
      <c r="F971" s="243">
        <v>840421</v>
      </c>
      <c r="G971" s="243">
        <v>840421</v>
      </c>
      <c r="H971" s="243">
        <f t="shared" si="32"/>
        <v>100</v>
      </c>
      <c r="I971" s="123" t="str">
        <f t="shared" si="31"/>
        <v>11010710027242610</v>
      </c>
    </row>
    <row r="972" spans="1:9" ht="51">
      <c r="A972" s="241" t="s">
        <v>347</v>
      </c>
      <c r="B972" s="242" t="s">
        <v>230</v>
      </c>
      <c r="C972" s="242" t="s">
        <v>1229</v>
      </c>
      <c r="D972" s="242" t="s">
        <v>2081</v>
      </c>
      <c r="E972" s="242" t="s">
        <v>348</v>
      </c>
      <c r="F972" s="243">
        <v>840421</v>
      </c>
      <c r="G972" s="243">
        <v>840421</v>
      </c>
      <c r="H972" s="243">
        <f t="shared" si="32"/>
        <v>100</v>
      </c>
      <c r="I972" s="123" t="str">
        <f t="shared" si="31"/>
        <v>11010710027242611</v>
      </c>
    </row>
    <row r="973" spans="1:9" ht="102">
      <c r="A973" s="241" t="s">
        <v>1176</v>
      </c>
      <c r="B973" s="242" t="s">
        <v>230</v>
      </c>
      <c r="C973" s="242" t="s">
        <v>1229</v>
      </c>
      <c r="D973" s="242" t="s">
        <v>1177</v>
      </c>
      <c r="E973" s="242"/>
      <c r="F973" s="243">
        <v>10474224.029999999</v>
      </c>
      <c r="G973" s="243">
        <v>10474224.029999999</v>
      </c>
      <c r="H973" s="243">
        <f t="shared" si="32"/>
        <v>100</v>
      </c>
      <c r="I973" s="123" t="str">
        <f t="shared" si="31"/>
        <v>11010710040000</v>
      </c>
    </row>
    <row r="974" spans="1:9" ht="25.5">
      <c r="A974" s="241" t="s">
        <v>1327</v>
      </c>
      <c r="B974" s="242" t="s">
        <v>230</v>
      </c>
      <c r="C974" s="242" t="s">
        <v>1229</v>
      </c>
      <c r="D974" s="242" t="s">
        <v>1177</v>
      </c>
      <c r="E974" s="242" t="s">
        <v>1328</v>
      </c>
      <c r="F974" s="243">
        <v>10474224.029999999</v>
      </c>
      <c r="G974" s="243">
        <v>10474224.029999999</v>
      </c>
      <c r="H974" s="243">
        <f t="shared" si="32"/>
        <v>100</v>
      </c>
      <c r="I974" s="123" t="str">
        <f t="shared" si="31"/>
        <v>11010710040000600</v>
      </c>
    </row>
    <row r="975" spans="1:9">
      <c r="A975" s="241" t="s">
        <v>1198</v>
      </c>
      <c r="B975" s="242" t="s">
        <v>230</v>
      </c>
      <c r="C975" s="242" t="s">
        <v>1229</v>
      </c>
      <c r="D975" s="242" t="s">
        <v>1177</v>
      </c>
      <c r="E975" s="242" t="s">
        <v>1199</v>
      </c>
      <c r="F975" s="243">
        <v>10474224.029999999</v>
      </c>
      <c r="G975" s="243">
        <v>10474224.029999999</v>
      </c>
      <c r="H975" s="243">
        <f t="shared" si="32"/>
        <v>100</v>
      </c>
      <c r="I975" s="123" t="str">
        <f t="shared" si="31"/>
        <v>11010710040000610</v>
      </c>
    </row>
    <row r="976" spans="1:9" ht="51">
      <c r="A976" s="241" t="s">
        <v>347</v>
      </c>
      <c r="B976" s="242" t="s">
        <v>230</v>
      </c>
      <c r="C976" s="242" t="s">
        <v>1229</v>
      </c>
      <c r="D976" s="242" t="s">
        <v>1177</v>
      </c>
      <c r="E976" s="242" t="s">
        <v>348</v>
      </c>
      <c r="F976" s="243">
        <v>10474224.029999999</v>
      </c>
      <c r="G976" s="243">
        <v>10474224.029999999</v>
      </c>
      <c r="H976" s="243">
        <f t="shared" si="32"/>
        <v>100</v>
      </c>
      <c r="I976" s="123" t="str">
        <f t="shared" si="31"/>
        <v>11010710040000611</v>
      </c>
    </row>
    <row r="977" spans="1:9" ht="127.5">
      <c r="A977" s="241" t="s">
        <v>1178</v>
      </c>
      <c r="B977" s="242" t="s">
        <v>230</v>
      </c>
      <c r="C977" s="242" t="s">
        <v>1229</v>
      </c>
      <c r="D977" s="242" t="s">
        <v>1179</v>
      </c>
      <c r="E977" s="242"/>
      <c r="F977" s="243">
        <v>2982040</v>
      </c>
      <c r="G977" s="243">
        <v>2982040</v>
      </c>
      <c r="H977" s="243">
        <f t="shared" si="32"/>
        <v>100</v>
      </c>
      <c r="I977" s="123" t="str">
        <f t="shared" si="31"/>
        <v>11010710041000</v>
      </c>
    </row>
    <row r="978" spans="1:9" ht="25.5">
      <c r="A978" s="241" t="s">
        <v>1327</v>
      </c>
      <c r="B978" s="242" t="s">
        <v>230</v>
      </c>
      <c r="C978" s="242" t="s">
        <v>1229</v>
      </c>
      <c r="D978" s="242" t="s">
        <v>1179</v>
      </c>
      <c r="E978" s="242" t="s">
        <v>1328</v>
      </c>
      <c r="F978" s="243">
        <v>2982040</v>
      </c>
      <c r="G978" s="243">
        <v>2982040</v>
      </c>
      <c r="H978" s="243">
        <f t="shared" si="32"/>
        <v>100</v>
      </c>
      <c r="I978" s="123" t="str">
        <f t="shared" si="31"/>
        <v>11010710041000600</v>
      </c>
    </row>
    <row r="979" spans="1:9">
      <c r="A979" s="241" t="s">
        <v>1198</v>
      </c>
      <c r="B979" s="242" t="s">
        <v>230</v>
      </c>
      <c r="C979" s="242" t="s">
        <v>1229</v>
      </c>
      <c r="D979" s="242" t="s">
        <v>1179</v>
      </c>
      <c r="E979" s="242" t="s">
        <v>1199</v>
      </c>
      <c r="F979" s="243">
        <v>2982040</v>
      </c>
      <c r="G979" s="243">
        <v>2982040</v>
      </c>
      <c r="H979" s="243">
        <f t="shared" si="32"/>
        <v>100</v>
      </c>
      <c r="I979" s="123" t="str">
        <f t="shared" si="31"/>
        <v>11010710041000610</v>
      </c>
    </row>
    <row r="980" spans="1:9" ht="51">
      <c r="A980" s="241" t="s">
        <v>347</v>
      </c>
      <c r="B980" s="242" t="s">
        <v>230</v>
      </c>
      <c r="C980" s="242" t="s">
        <v>1229</v>
      </c>
      <c r="D980" s="242" t="s">
        <v>1179</v>
      </c>
      <c r="E980" s="242" t="s">
        <v>348</v>
      </c>
      <c r="F980" s="243">
        <v>2982040</v>
      </c>
      <c r="G980" s="243">
        <v>2982040</v>
      </c>
      <c r="H980" s="243">
        <f t="shared" si="32"/>
        <v>100</v>
      </c>
      <c r="I980" s="123" t="str">
        <f t="shared" si="31"/>
        <v>11010710041000611</v>
      </c>
    </row>
    <row r="981" spans="1:9" ht="102">
      <c r="A981" s="241" t="s">
        <v>1180</v>
      </c>
      <c r="B981" s="242" t="s">
        <v>230</v>
      </c>
      <c r="C981" s="242" t="s">
        <v>1229</v>
      </c>
      <c r="D981" s="242" t="s">
        <v>1181</v>
      </c>
      <c r="E981" s="242"/>
      <c r="F981" s="243">
        <v>9784.24</v>
      </c>
      <c r="G981" s="243">
        <v>9784.24</v>
      </c>
      <c r="H981" s="243">
        <f t="shared" si="32"/>
        <v>100</v>
      </c>
      <c r="I981" s="123" t="str">
        <f t="shared" si="31"/>
        <v>11010710047000</v>
      </c>
    </row>
    <row r="982" spans="1:9" ht="25.5">
      <c r="A982" s="241" t="s">
        <v>1327</v>
      </c>
      <c r="B982" s="242" t="s">
        <v>230</v>
      </c>
      <c r="C982" s="242" t="s">
        <v>1229</v>
      </c>
      <c r="D982" s="242" t="s">
        <v>1181</v>
      </c>
      <c r="E982" s="242" t="s">
        <v>1328</v>
      </c>
      <c r="F982" s="243">
        <v>9784.24</v>
      </c>
      <c r="G982" s="243">
        <v>9784.24</v>
      </c>
      <c r="H982" s="243">
        <f t="shared" si="32"/>
        <v>100</v>
      </c>
      <c r="I982" s="123" t="str">
        <f t="shared" si="31"/>
        <v>11010710047000600</v>
      </c>
    </row>
    <row r="983" spans="1:9">
      <c r="A983" s="241" t="s">
        <v>1198</v>
      </c>
      <c r="B983" s="242" t="s">
        <v>230</v>
      </c>
      <c r="C983" s="242" t="s">
        <v>1229</v>
      </c>
      <c r="D983" s="242" t="s">
        <v>1181</v>
      </c>
      <c r="E983" s="242" t="s">
        <v>1199</v>
      </c>
      <c r="F983" s="243">
        <v>9784.24</v>
      </c>
      <c r="G983" s="243">
        <v>9784.24</v>
      </c>
      <c r="H983" s="243">
        <f t="shared" si="32"/>
        <v>100</v>
      </c>
      <c r="I983" s="123" t="str">
        <f t="shared" si="31"/>
        <v>11010710047000610</v>
      </c>
    </row>
    <row r="984" spans="1:9">
      <c r="A984" s="241" t="s">
        <v>366</v>
      </c>
      <c r="B984" s="242" t="s">
        <v>230</v>
      </c>
      <c r="C984" s="242" t="s">
        <v>1229</v>
      </c>
      <c r="D984" s="242" t="s">
        <v>1181</v>
      </c>
      <c r="E984" s="242" t="s">
        <v>367</v>
      </c>
      <c r="F984" s="243">
        <v>9784.24</v>
      </c>
      <c r="G984" s="243">
        <v>9784.24</v>
      </c>
      <c r="H984" s="243">
        <f t="shared" si="32"/>
        <v>100</v>
      </c>
      <c r="I984" s="123" t="str">
        <f t="shared" si="31"/>
        <v>11010710047000612</v>
      </c>
    </row>
    <row r="985" spans="1:9" ht="102">
      <c r="A985" s="241" t="s">
        <v>1182</v>
      </c>
      <c r="B985" s="242" t="s">
        <v>230</v>
      </c>
      <c r="C985" s="242" t="s">
        <v>1229</v>
      </c>
      <c r="D985" s="242" t="s">
        <v>1183</v>
      </c>
      <c r="E985" s="242"/>
      <c r="F985" s="243">
        <v>2520000</v>
      </c>
      <c r="G985" s="243">
        <v>1944344.46</v>
      </c>
      <c r="H985" s="243">
        <f t="shared" si="32"/>
        <v>77.1565261904762</v>
      </c>
      <c r="I985" s="123" t="str">
        <f t="shared" si="31"/>
        <v>1101071004Г000</v>
      </c>
    </row>
    <row r="986" spans="1:9" ht="25.5">
      <c r="A986" s="241" t="s">
        <v>1327</v>
      </c>
      <c r="B986" s="242" t="s">
        <v>230</v>
      </c>
      <c r="C986" s="242" t="s">
        <v>1229</v>
      </c>
      <c r="D986" s="242" t="s">
        <v>1183</v>
      </c>
      <c r="E986" s="242" t="s">
        <v>1328</v>
      </c>
      <c r="F986" s="243">
        <v>2520000</v>
      </c>
      <c r="G986" s="243">
        <v>1944344.46</v>
      </c>
      <c r="H986" s="243">
        <f t="shared" si="32"/>
        <v>77.1565261904762</v>
      </c>
      <c r="I986" s="123" t="str">
        <f t="shared" si="31"/>
        <v>1101071004Г000600</v>
      </c>
    </row>
    <row r="987" spans="1:9">
      <c r="A987" s="241" t="s">
        <v>1198</v>
      </c>
      <c r="B987" s="242" t="s">
        <v>230</v>
      </c>
      <c r="C987" s="242" t="s">
        <v>1229</v>
      </c>
      <c r="D987" s="242" t="s">
        <v>1183</v>
      </c>
      <c r="E987" s="242" t="s">
        <v>1199</v>
      </c>
      <c r="F987" s="243">
        <v>2520000</v>
      </c>
      <c r="G987" s="243">
        <v>1944344.46</v>
      </c>
      <c r="H987" s="243">
        <f t="shared" si="32"/>
        <v>77.1565261904762</v>
      </c>
      <c r="I987" s="123" t="str">
        <f t="shared" si="31"/>
        <v>1101071004Г000610</v>
      </c>
    </row>
    <row r="988" spans="1:9" ht="51">
      <c r="A988" s="241" t="s">
        <v>347</v>
      </c>
      <c r="B988" s="242" t="s">
        <v>230</v>
      </c>
      <c r="C988" s="242" t="s">
        <v>1229</v>
      </c>
      <c r="D988" s="242" t="s">
        <v>1183</v>
      </c>
      <c r="E988" s="242" t="s">
        <v>348</v>
      </c>
      <c r="F988" s="243">
        <v>2520000</v>
      </c>
      <c r="G988" s="243">
        <v>1944344.46</v>
      </c>
      <c r="H988" s="243">
        <f t="shared" si="32"/>
        <v>77.1565261904762</v>
      </c>
      <c r="I988" s="123" t="str">
        <f t="shared" si="31"/>
        <v>1101071004Г000611</v>
      </c>
    </row>
    <row r="989" spans="1:9" ht="102">
      <c r="A989" s="241" t="s">
        <v>1637</v>
      </c>
      <c r="B989" s="242" t="s">
        <v>230</v>
      </c>
      <c r="C989" s="242" t="s">
        <v>1229</v>
      </c>
      <c r="D989" s="242" t="s">
        <v>1638</v>
      </c>
      <c r="E989" s="242"/>
      <c r="F989" s="243">
        <v>21000</v>
      </c>
      <c r="G989" s="243">
        <v>14101.32</v>
      </c>
      <c r="H989" s="243">
        <f t="shared" si="32"/>
        <v>67.149142857142849</v>
      </c>
      <c r="I989" s="123" t="str">
        <f t="shared" si="31"/>
        <v>1101071004М000</v>
      </c>
    </row>
    <row r="990" spans="1:9" ht="25.5">
      <c r="A990" s="241" t="s">
        <v>1327</v>
      </c>
      <c r="B990" s="242" t="s">
        <v>230</v>
      </c>
      <c r="C990" s="242" t="s">
        <v>1229</v>
      </c>
      <c r="D990" s="242" t="s">
        <v>1638</v>
      </c>
      <c r="E990" s="242" t="s">
        <v>1328</v>
      </c>
      <c r="F990" s="243">
        <v>21000</v>
      </c>
      <c r="G990" s="243">
        <v>14101.32</v>
      </c>
      <c r="H990" s="243">
        <f t="shared" si="32"/>
        <v>67.149142857142849</v>
      </c>
      <c r="I990" s="123" t="str">
        <f t="shared" si="31"/>
        <v>1101071004М000600</v>
      </c>
    </row>
    <row r="991" spans="1:9">
      <c r="A991" s="241" t="s">
        <v>1198</v>
      </c>
      <c r="B991" s="242" t="s">
        <v>230</v>
      </c>
      <c r="C991" s="242" t="s">
        <v>1229</v>
      </c>
      <c r="D991" s="242" t="s">
        <v>1638</v>
      </c>
      <c r="E991" s="242" t="s">
        <v>1199</v>
      </c>
      <c r="F991" s="243">
        <v>21000</v>
      </c>
      <c r="G991" s="243">
        <v>14101.32</v>
      </c>
      <c r="H991" s="243">
        <f t="shared" si="32"/>
        <v>67.149142857142849</v>
      </c>
      <c r="I991" s="123" t="str">
        <f t="shared" si="31"/>
        <v>1101071004М000610</v>
      </c>
    </row>
    <row r="992" spans="1:9" ht="51">
      <c r="A992" s="241" t="s">
        <v>347</v>
      </c>
      <c r="B992" s="242" t="s">
        <v>230</v>
      </c>
      <c r="C992" s="242" t="s">
        <v>1229</v>
      </c>
      <c r="D992" s="242" t="s">
        <v>1638</v>
      </c>
      <c r="E992" s="242" t="s">
        <v>348</v>
      </c>
      <c r="F992" s="243">
        <v>21000</v>
      </c>
      <c r="G992" s="243">
        <v>14101.32</v>
      </c>
      <c r="H992" s="243">
        <f t="shared" si="32"/>
        <v>67.149142857142849</v>
      </c>
      <c r="I992" s="123" t="str">
        <f t="shared" si="31"/>
        <v>1101071004М000611</v>
      </c>
    </row>
    <row r="993" spans="1:9" ht="89.25">
      <c r="A993" s="241" t="s">
        <v>1184</v>
      </c>
      <c r="B993" s="242" t="s">
        <v>230</v>
      </c>
      <c r="C993" s="242" t="s">
        <v>1229</v>
      </c>
      <c r="D993" s="242" t="s">
        <v>1185</v>
      </c>
      <c r="E993" s="242"/>
      <c r="F993" s="243">
        <v>500000</v>
      </c>
      <c r="G993" s="243">
        <v>395077.26</v>
      </c>
      <c r="H993" s="243">
        <f t="shared" si="32"/>
        <v>79.015451999999996</v>
      </c>
      <c r="I993" s="123" t="str">
        <f t="shared" si="31"/>
        <v>1101071004Э000</v>
      </c>
    </row>
    <row r="994" spans="1:9" ht="25.5">
      <c r="A994" s="241" t="s">
        <v>1327</v>
      </c>
      <c r="B994" s="242" t="s">
        <v>230</v>
      </c>
      <c r="C994" s="242" t="s">
        <v>1229</v>
      </c>
      <c r="D994" s="242" t="s">
        <v>1185</v>
      </c>
      <c r="E994" s="242" t="s">
        <v>1328</v>
      </c>
      <c r="F994" s="243">
        <v>500000</v>
      </c>
      <c r="G994" s="243">
        <v>395077.26</v>
      </c>
      <c r="H994" s="243">
        <f t="shared" si="32"/>
        <v>79.015451999999996</v>
      </c>
      <c r="I994" s="123" t="str">
        <f t="shared" si="31"/>
        <v>1101071004Э000600</v>
      </c>
    </row>
    <row r="995" spans="1:9">
      <c r="A995" s="241" t="s">
        <v>1198</v>
      </c>
      <c r="B995" s="242" t="s">
        <v>230</v>
      </c>
      <c r="C995" s="242" t="s">
        <v>1229</v>
      </c>
      <c r="D995" s="242" t="s">
        <v>1185</v>
      </c>
      <c r="E995" s="242" t="s">
        <v>1199</v>
      </c>
      <c r="F995" s="243">
        <v>500000</v>
      </c>
      <c r="G995" s="243">
        <v>395077.26</v>
      </c>
      <c r="H995" s="243">
        <f t="shared" si="32"/>
        <v>79.015451999999996</v>
      </c>
      <c r="I995" s="123" t="str">
        <f t="shared" si="31"/>
        <v>1101071004Э000610</v>
      </c>
    </row>
    <row r="996" spans="1:9" ht="51">
      <c r="A996" s="241" t="s">
        <v>347</v>
      </c>
      <c r="B996" s="242" t="s">
        <v>230</v>
      </c>
      <c r="C996" s="242" t="s">
        <v>1229</v>
      </c>
      <c r="D996" s="242" t="s">
        <v>1185</v>
      </c>
      <c r="E996" s="242" t="s">
        <v>348</v>
      </c>
      <c r="F996" s="243">
        <v>500000</v>
      </c>
      <c r="G996" s="243">
        <v>395077.26</v>
      </c>
      <c r="H996" s="243">
        <f t="shared" si="32"/>
        <v>79.015451999999996</v>
      </c>
      <c r="I996" s="123" t="str">
        <f t="shared" si="31"/>
        <v>1101071004Э000611</v>
      </c>
    </row>
    <row r="997" spans="1:9" ht="76.5">
      <c r="A997" s="241" t="s">
        <v>1186</v>
      </c>
      <c r="B997" s="242" t="s">
        <v>230</v>
      </c>
      <c r="C997" s="242" t="s">
        <v>1229</v>
      </c>
      <c r="D997" s="242" t="s">
        <v>1187</v>
      </c>
      <c r="E997" s="242"/>
      <c r="F997" s="243">
        <v>939000</v>
      </c>
      <c r="G997" s="243">
        <v>939000</v>
      </c>
      <c r="H997" s="243">
        <f t="shared" si="32"/>
        <v>100</v>
      </c>
      <c r="I997" s="123" t="str">
        <f t="shared" si="31"/>
        <v>110107100Ч0020</v>
      </c>
    </row>
    <row r="998" spans="1:9" ht="25.5">
      <c r="A998" s="241" t="s">
        <v>1327</v>
      </c>
      <c r="B998" s="242" t="s">
        <v>230</v>
      </c>
      <c r="C998" s="242" t="s">
        <v>1229</v>
      </c>
      <c r="D998" s="242" t="s">
        <v>1187</v>
      </c>
      <c r="E998" s="242" t="s">
        <v>1328</v>
      </c>
      <c r="F998" s="243">
        <v>939000</v>
      </c>
      <c r="G998" s="243">
        <v>939000</v>
      </c>
      <c r="H998" s="243">
        <f t="shared" si="32"/>
        <v>100</v>
      </c>
      <c r="I998" s="123" t="str">
        <f t="shared" si="31"/>
        <v>110107100Ч0020600</v>
      </c>
    </row>
    <row r="999" spans="1:9">
      <c r="A999" s="241" t="s">
        <v>1198</v>
      </c>
      <c r="B999" s="242" t="s">
        <v>230</v>
      </c>
      <c r="C999" s="242" t="s">
        <v>1229</v>
      </c>
      <c r="D999" s="242" t="s">
        <v>1187</v>
      </c>
      <c r="E999" s="242" t="s">
        <v>1199</v>
      </c>
      <c r="F999" s="243">
        <v>939000</v>
      </c>
      <c r="G999" s="243">
        <v>939000</v>
      </c>
      <c r="H999" s="243">
        <f t="shared" si="32"/>
        <v>100</v>
      </c>
      <c r="I999" s="123" t="str">
        <f t="shared" ref="I999:I1061" si="33">CONCATENATE(C999,D999,E999)</f>
        <v>110107100Ч0020610</v>
      </c>
    </row>
    <row r="1000" spans="1:9" ht="51">
      <c r="A1000" s="241" t="s">
        <v>347</v>
      </c>
      <c r="B1000" s="242" t="s">
        <v>230</v>
      </c>
      <c r="C1000" s="242" t="s">
        <v>1229</v>
      </c>
      <c r="D1000" s="242" t="s">
        <v>1187</v>
      </c>
      <c r="E1000" s="242" t="s">
        <v>348</v>
      </c>
      <c r="F1000" s="243">
        <v>939000</v>
      </c>
      <c r="G1000" s="243">
        <v>939000</v>
      </c>
      <c r="H1000" s="243">
        <f t="shared" si="32"/>
        <v>100</v>
      </c>
      <c r="I1000" s="123" t="str">
        <f t="shared" si="33"/>
        <v>110107100Ч0020611</v>
      </c>
    </row>
    <row r="1001" spans="1:9">
      <c r="A1001" s="241" t="s">
        <v>210</v>
      </c>
      <c r="B1001" s="242" t="s">
        <v>230</v>
      </c>
      <c r="C1001" s="242" t="s">
        <v>381</v>
      </c>
      <c r="D1001" s="242"/>
      <c r="E1001" s="242"/>
      <c r="F1001" s="243">
        <v>1532762.91</v>
      </c>
      <c r="G1001" s="243">
        <v>1532762.91</v>
      </c>
      <c r="H1001" s="243">
        <f t="shared" si="32"/>
        <v>100</v>
      </c>
      <c r="I1001" s="123" t="str">
        <f t="shared" si="33"/>
        <v>1102</v>
      </c>
    </row>
    <row r="1002" spans="1:9" ht="25.5">
      <c r="A1002" s="241" t="s">
        <v>1351</v>
      </c>
      <c r="B1002" s="242" t="s">
        <v>230</v>
      </c>
      <c r="C1002" s="242" t="s">
        <v>381</v>
      </c>
      <c r="D1002" s="242" t="s">
        <v>988</v>
      </c>
      <c r="E1002" s="242"/>
      <c r="F1002" s="243">
        <v>1532762.91</v>
      </c>
      <c r="G1002" s="243">
        <v>1532762.91</v>
      </c>
      <c r="H1002" s="243">
        <f t="shared" si="32"/>
        <v>100</v>
      </c>
      <c r="I1002" s="123" t="str">
        <f t="shared" si="33"/>
        <v>11020700000000</v>
      </c>
    </row>
    <row r="1003" spans="1:9" ht="25.5">
      <c r="A1003" s="241" t="s">
        <v>475</v>
      </c>
      <c r="B1003" s="242" t="s">
        <v>230</v>
      </c>
      <c r="C1003" s="242" t="s">
        <v>381</v>
      </c>
      <c r="D1003" s="242" t="s">
        <v>989</v>
      </c>
      <c r="E1003" s="242"/>
      <c r="F1003" s="243">
        <v>1345112.91</v>
      </c>
      <c r="G1003" s="243">
        <v>1345112.91</v>
      </c>
      <c r="H1003" s="243">
        <f t="shared" si="32"/>
        <v>100</v>
      </c>
      <c r="I1003" s="123" t="str">
        <f t="shared" si="33"/>
        <v>11020710000000</v>
      </c>
    </row>
    <row r="1004" spans="1:9" ht="76.5">
      <c r="A1004" s="241" t="s">
        <v>1779</v>
      </c>
      <c r="B1004" s="242" t="s">
        <v>230</v>
      </c>
      <c r="C1004" s="242" t="s">
        <v>381</v>
      </c>
      <c r="D1004" s="242" t="s">
        <v>1780</v>
      </c>
      <c r="E1004" s="242"/>
      <c r="F1004" s="243">
        <v>1345112.91</v>
      </c>
      <c r="G1004" s="243">
        <v>1345112.91</v>
      </c>
      <c r="H1004" s="243">
        <f t="shared" si="32"/>
        <v>100</v>
      </c>
      <c r="I1004" s="123" t="str">
        <f t="shared" si="33"/>
        <v>110207100Ф0000</v>
      </c>
    </row>
    <row r="1005" spans="1:9" ht="25.5">
      <c r="A1005" s="241" t="s">
        <v>1327</v>
      </c>
      <c r="B1005" s="242" t="s">
        <v>230</v>
      </c>
      <c r="C1005" s="242" t="s">
        <v>381</v>
      </c>
      <c r="D1005" s="242" t="s">
        <v>1780</v>
      </c>
      <c r="E1005" s="242" t="s">
        <v>1328</v>
      </c>
      <c r="F1005" s="243">
        <v>1345112.91</v>
      </c>
      <c r="G1005" s="243">
        <v>1345112.91</v>
      </c>
      <c r="H1005" s="243">
        <f t="shared" si="32"/>
        <v>100</v>
      </c>
      <c r="I1005" s="123" t="str">
        <f t="shared" si="33"/>
        <v>110207100Ф0000600</v>
      </c>
    </row>
    <row r="1006" spans="1:9">
      <c r="A1006" s="241" t="s">
        <v>1198</v>
      </c>
      <c r="B1006" s="242" t="s">
        <v>230</v>
      </c>
      <c r="C1006" s="242" t="s">
        <v>381</v>
      </c>
      <c r="D1006" s="242" t="s">
        <v>1780</v>
      </c>
      <c r="E1006" s="242" t="s">
        <v>1199</v>
      </c>
      <c r="F1006" s="243">
        <v>1345112.91</v>
      </c>
      <c r="G1006" s="243">
        <v>1345112.91</v>
      </c>
      <c r="H1006" s="243">
        <f t="shared" si="32"/>
        <v>100</v>
      </c>
      <c r="I1006" s="123" t="str">
        <f t="shared" si="33"/>
        <v>110207100Ф0000610</v>
      </c>
    </row>
    <row r="1007" spans="1:9">
      <c r="A1007" s="241" t="s">
        <v>366</v>
      </c>
      <c r="B1007" s="242" t="s">
        <v>230</v>
      </c>
      <c r="C1007" s="242" t="s">
        <v>381</v>
      </c>
      <c r="D1007" s="242" t="s">
        <v>1780</v>
      </c>
      <c r="E1007" s="242" t="s">
        <v>367</v>
      </c>
      <c r="F1007" s="243">
        <v>1345112.91</v>
      </c>
      <c r="G1007" s="243">
        <v>1345112.91</v>
      </c>
      <c r="H1007" s="243">
        <f t="shared" si="32"/>
        <v>100</v>
      </c>
      <c r="I1007" s="123" t="str">
        <f t="shared" si="33"/>
        <v>110207100Ф0000612</v>
      </c>
    </row>
    <row r="1008" spans="1:9" ht="25.5">
      <c r="A1008" s="241" t="s">
        <v>477</v>
      </c>
      <c r="B1008" s="242" t="s">
        <v>230</v>
      </c>
      <c r="C1008" s="242" t="s">
        <v>381</v>
      </c>
      <c r="D1008" s="242" t="s">
        <v>990</v>
      </c>
      <c r="E1008" s="242"/>
      <c r="F1008" s="243">
        <v>187650</v>
      </c>
      <c r="G1008" s="243">
        <v>187650</v>
      </c>
      <c r="H1008" s="243">
        <f t="shared" si="32"/>
        <v>100</v>
      </c>
      <c r="I1008" s="123" t="str">
        <f t="shared" si="33"/>
        <v>11020720000000</v>
      </c>
    </row>
    <row r="1009" spans="1:9" ht="76.5">
      <c r="A1009" s="241" t="s">
        <v>504</v>
      </c>
      <c r="B1009" s="242" t="s">
        <v>230</v>
      </c>
      <c r="C1009" s="242" t="s">
        <v>381</v>
      </c>
      <c r="D1009" s="242" t="s">
        <v>690</v>
      </c>
      <c r="E1009" s="242"/>
      <c r="F1009" s="243">
        <v>187650</v>
      </c>
      <c r="G1009" s="243">
        <v>187650</v>
      </c>
      <c r="H1009" s="243">
        <f t="shared" si="32"/>
        <v>100</v>
      </c>
      <c r="I1009" s="123" t="str">
        <f t="shared" si="33"/>
        <v>11020720080010</v>
      </c>
    </row>
    <row r="1010" spans="1:9" ht="25.5">
      <c r="A1010" s="241" t="s">
        <v>1327</v>
      </c>
      <c r="B1010" s="242" t="s">
        <v>230</v>
      </c>
      <c r="C1010" s="242" t="s">
        <v>381</v>
      </c>
      <c r="D1010" s="242" t="s">
        <v>690</v>
      </c>
      <c r="E1010" s="242" t="s">
        <v>1328</v>
      </c>
      <c r="F1010" s="243">
        <v>187650</v>
      </c>
      <c r="G1010" s="243">
        <v>187650</v>
      </c>
      <c r="H1010" s="243">
        <f t="shared" si="32"/>
        <v>100</v>
      </c>
      <c r="I1010" s="123" t="str">
        <f t="shared" si="33"/>
        <v>11020720080010600</v>
      </c>
    </row>
    <row r="1011" spans="1:9">
      <c r="A1011" s="241" t="s">
        <v>1198</v>
      </c>
      <c r="B1011" s="242" t="s">
        <v>230</v>
      </c>
      <c r="C1011" s="242" t="s">
        <v>381</v>
      </c>
      <c r="D1011" s="242" t="s">
        <v>690</v>
      </c>
      <c r="E1011" s="242" t="s">
        <v>1199</v>
      </c>
      <c r="F1011" s="243">
        <v>187650</v>
      </c>
      <c r="G1011" s="243">
        <v>187650</v>
      </c>
      <c r="H1011" s="243">
        <f t="shared" si="32"/>
        <v>100</v>
      </c>
      <c r="I1011" s="123" t="str">
        <f t="shared" si="33"/>
        <v>11020720080010610</v>
      </c>
    </row>
    <row r="1012" spans="1:9" ht="51">
      <c r="A1012" s="241" t="s">
        <v>347</v>
      </c>
      <c r="B1012" s="242" t="s">
        <v>230</v>
      </c>
      <c r="C1012" s="242" t="s">
        <v>381</v>
      </c>
      <c r="D1012" s="242" t="s">
        <v>690</v>
      </c>
      <c r="E1012" s="242" t="s">
        <v>348</v>
      </c>
      <c r="F1012" s="243">
        <v>187650</v>
      </c>
      <c r="G1012" s="243">
        <v>187650</v>
      </c>
      <c r="H1012" s="243">
        <f t="shared" si="32"/>
        <v>100</v>
      </c>
      <c r="I1012" s="123" t="str">
        <f t="shared" si="33"/>
        <v>11020720080010611</v>
      </c>
    </row>
    <row r="1013" spans="1:9" ht="25.5">
      <c r="A1013" s="241" t="s">
        <v>186</v>
      </c>
      <c r="B1013" s="242" t="s">
        <v>66</v>
      </c>
      <c r="C1013" s="242"/>
      <c r="D1013" s="242"/>
      <c r="E1013" s="242"/>
      <c r="F1013" s="243">
        <v>13527380.380000001</v>
      </c>
      <c r="G1013" s="243">
        <v>12890118.58</v>
      </c>
      <c r="H1013" s="243">
        <f t="shared" si="32"/>
        <v>95.289096764498609</v>
      </c>
      <c r="I1013" s="123" t="str">
        <f t="shared" si="33"/>
        <v/>
      </c>
    </row>
    <row r="1014" spans="1:9">
      <c r="A1014" s="241" t="s">
        <v>234</v>
      </c>
      <c r="B1014" s="242" t="s">
        <v>66</v>
      </c>
      <c r="C1014" s="242" t="s">
        <v>1135</v>
      </c>
      <c r="D1014" s="242"/>
      <c r="E1014" s="242"/>
      <c r="F1014" s="243">
        <v>776150</v>
      </c>
      <c r="G1014" s="243">
        <v>776150</v>
      </c>
      <c r="H1014" s="243">
        <f t="shared" si="32"/>
        <v>100</v>
      </c>
      <c r="I1014" s="123" t="str">
        <f t="shared" si="33"/>
        <v>0100</v>
      </c>
    </row>
    <row r="1015" spans="1:9">
      <c r="A1015" s="241" t="s">
        <v>217</v>
      </c>
      <c r="B1015" s="242" t="s">
        <v>66</v>
      </c>
      <c r="C1015" s="242" t="s">
        <v>337</v>
      </c>
      <c r="D1015" s="242"/>
      <c r="E1015" s="242"/>
      <c r="F1015" s="243">
        <v>776150</v>
      </c>
      <c r="G1015" s="243">
        <v>776150</v>
      </c>
      <c r="H1015" s="243">
        <f t="shared" si="32"/>
        <v>100</v>
      </c>
      <c r="I1015" s="123" t="str">
        <f t="shared" si="33"/>
        <v>0113</v>
      </c>
    </row>
    <row r="1016" spans="1:9" ht="25.5">
      <c r="A1016" s="241" t="s">
        <v>601</v>
      </c>
      <c r="B1016" s="242" t="s">
        <v>66</v>
      </c>
      <c r="C1016" s="242" t="s">
        <v>337</v>
      </c>
      <c r="D1016" s="242" t="s">
        <v>1011</v>
      </c>
      <c r="E1016" s="242"/>
      <c r="F1016" s="243">
        <v>776150</v>
      </c>
      <c r="G1016" s="243">
        <v>776150</v>
      </c>
      <c r="H1016" s="243">
        <f t="shared" si="32"/>
        <v>100</v>
      </c>
      <c r="I1016" s="123" t="str">
        <f t="shared" si="33"/>
        <v>01139000000000</v>
      </c>
    </row>
    <row r="1017" spans="1:9" ht="25.5">
      <c r="A1017" s="241" t="s">
        <v>431</v>
      </c>
      <c r="B1017" s="242" t="s">
        <v>66</v>
      </c>
      <c r="C1017" s="242" t="s">
        <v>337</v>
      </c>
      <c r="D1017" s="242" t="s">
        <v>1015</v>
      </c>
      <c r="E1017" s="242"/>
      <c r="F1017" s="243">
        <v>776150</v>
      </c>
      <c r="G1017" s="243">
        <v>776150</v>
      </c>
      <c r="H1017" s="243">
        <f t="shared" si="32"/>
        <v>100</v>
      </c>
      <c r="I1017" s="123" t="str">
        <f t="shared" si="33"/>
        <v>01139090000000</v>
      </c>
    </row>
    <row r="1018" spans="1:9" ht="25.5">
      <c r="A1018" s="241" t="s">
        <v>431</v>
      </c>
      <c r="B1018" s="242" t="s">
        <v>66</v>
      </c>
      <c r="C1018" s="242" t="s">
        <v>337</v>
      </c>
      <c r="D1018" s="242" t="s">
        <v>795</v>
      </c>
      <c r="E1018" s="242"/>
      <c r="F1018" s="243">
        <v>40750</v>
      </c>
      <c r="G1018" s="243">
        <v>40750</v>
      </c>
      <c r="H1018" s="243">
        <f t="shared" si="32"/>
        <v>100</v>
      </c>
      <c r="I1018" s="123" t="str">
        <f t="shared" si="33"/>
        <v>01139090080000</v>
      </c>
    </row>
    <row r="1019" spans="1:9" ht="25.5">
      <c r="A1019" s="241" t="s">
        <v>1319</v>
      </c>
      <c r="B1019" s="242" t="s">
        <v>66</v>
      </c>
      <c r="C1019" s="242" t="s">
        <v>337</v>
      </c>
      <c r="D1019" s="242" t="s">
        <v>795</v>
      </c>
      <c r="E1019" s="242" t="s">
        <v>1320</v>
      </c>
      <c r="F1019" s="243">
        <v>40000</v>
      </c>
      <c r="G1019" s="243">
        <v>40000</v>
      </c>
      <c r="H1019" s="243">
        <f t="shared" si="32"/>
        <v>100</v>
      </c>
      <c r="I1019" s="123" t="str">
        <f t="shared" si="33"/>
        <v>01139090080000200</v>
      </c>
    </row>
    <row r="1020" spans="1:9" ht="25.5">
      <c r="A1020" s="241" t="s">
        <v>1196</v>
      </c>
      <c r="B1020" s="242" t="s">
        <v>66</v>
      </c>
      <c r="C1020" s="242" t="s">
        <v>337</v>
      </c>
      <c r="D1020" s="242" t="s">
        <v>795</v>
      </c>
      <c r="E1020" s="242" t="s">
        <v>1197</v>
      </c>
      <c r="F1020" s="243">
        <v>40000</v>
      </c>
      <c r="G1020" s="243">
        <v>40000</v>
      </c>
      <c r="H1020" s="243">
        <f t="shared" si="32"/>
        <v>100</v>
      </c>
      <c r="I1020" s="123" t="str">
        <f t="shared" si="33"/>
        <v>01139090080000240</v>
      </c>
    </row>
    <row r="1021" spans="1:9">
      <c r="A1021" s="241" t="s">
        <v>1223</v>
      </c>
      <c r="B1021" s="242" t="s">
        <v>66</v>
      </c>
      <c r="C1021" s="242" t="s">
        <v>337</v>
      </c>
      <c r="D1021" s="242" t="s">
        <v>795</v>
      </c>
      <c r="E1021" s="242" t="s">
        <v>329</v>
      </c>
      <c r="F1021" s="243">
        <v>40000</v>
      </c>
      <c r="G1021" s="243">
        <v>40000</v>
      </c>
      <c r="H1021" s="243">
        <f t="shared" si="32"/>
        <v>100</v>
      </c>
      <c r="I1021" s="123" t="str">
        <f t="shared" si="33"/>
        <v>01139090080000244</v>
      </c>
    </row>
    <row r="1022" spans="1:9">
      <c r="A1022" s="241" t="s">
        <v>1321</v>
      </c>
      <c r="B1022" s="242" t="s">
        <v>66</v>
      </c>
      <c r="C1022" s="242" t="s">
        <v>337</v>
      </c>
      <c r="D1022" s="242" t="s">
        <v>795</v>
      </c>
      <c r="E1022" s="242" t="s">
        <v>1322</v>
      </c>
      <c r="F1022" s="243">
        <v>750</v>
      </c>
      <c r="G1022" s="243">
        <v>750</v>
      </c>
      <c r="H1022" s="243">
        <f t="shared" si="32"/>
        <v>100</v>
      </c>
      <c r="I1022" s="123" t="str">
        <f t="shared" si="33"/>
        <v>01139090080000800</v>
      </c>
    </row>
    <row r="1023" spans="1:9">
      <c r="A1023" s="241" t="s">
        <v>1201</v>
      </c>
      <c r="B1023" s="242" t="s">
        <v>66</v>
      </c>
      <c r="C1023" s="242" t="s">
        <v>337</v>
      </c>
      <c r="D1023" s="242" t="s">
        <v>795</v>
      </c>
      <c r="E1023" s="242" t="s">
        <v>1202</v>
      </c>
      <c r="F1023" s="243">
        <v>750</v>
      </c>
      <c r="G1023" s="243">
        <v>750</v>
      </c>
      <c r="H1023" s="243">
        <f t="shared" si="32"/>
        <v>100</v>
      </c>
      <c r="I1023" s="123" t="str">
        <f t="shared" si="33"/>
        <v>01139090080000850</v>
      </c>
    </row>
    <row r="1024" spans="1:9">
      <c r="A1024" s="241" t="s">
        <v>1057</v>
      </c>
      <c r="B1024" s="242" t="s">
        <v>66</v>
      </c>
      <c r="C1024" s="242" t="s">
        <v>337</v>
      </c>
      <c r="D1024" s="242" t="s">
        <v>795</v>
      </c>
      <c r="E1024" s="242" t="s">
        <v>1058</v>
      </c>
      <c r="F1024" s="243">
        <v>750</v>
      </c>
      <c r="G1024" s="243">
        <v>750</v>
      </c>
      <c r="H1024" s="243">
        <f t="shared" si="32"/>
        <v>100</v>
      </c>
      <c r="I1024" s="123" t="str">
        <f t="shared" si="33"/>
        <v>01139090080000853</v>
      </c>
    </row>
    <row r="1025" spans="1:9" ht="51">
      <c r="A1025" s="241" t="s">
        <v>527</v>
      </c>
      <c r="B1025" s="242" t="s">
        <v>66</v>
      </c>
      <c r="C1025" s="242" t="s">
        <v>337</v>
      </c>
      <c r="D1025" s="242" t="s">
        <v>734</v>
      </c>
      <c r="E1025" s="242"/>
      <c r="F1025" s="243">
        <v>735400</v>
      </c>
      <c r="G1025" s="243">
        <v>735400</v>
      </c>
      <c r="H1025" s="243">
        <f t="shared" si="32"/>
        <v>100</v>
      </c>
      <c r="I1025" s="123" t="str">
        <f t="shared" si="33"/>
        <v>011390900Д0000</v>
      </c>
    </row>
    <row r="1026" spans="1:9" ht="25.5">
      <c r="A1026" s="241" t="s">
        <v>1319</v>
      </c>
      <c r="B1026" s="242" t="s">
        <v>66</v>
      </c>
      <c r="C1026" s="242" t="s">
        <v>337</v>
      </c>
      <c r="D1026" s="242" t="s">
        <v>734</v>
      </c>
      <c r="E1026" s="242" t="s">
        <v>1320</v>
      </c>
      <c r="F1026" s="243">
        <v>735400</v>
      </c>
      <c r="G1026" s="243">
        <v>735400</v>
      </c>
      <c r="H1026" s="243">
        <f t="shared" si="32"/>
        <v>100</v>
      </c>
      <c r="I1026" s="123" t="str">
        <f t="shared" si="33"/>
        <v>011390900Д0000200</v>
      </c>
    </row>
    <row r="1027" spans="1:9" ht="25.5">
      <c r="A1027" s="241" t="s">
        <v>1196</v>
      </c>
      <c r="B1027" s="242" t="s">
        <v>66</v>
      </c>
      <c r="C1027" s="242" t="s">
        <v>337</v>
      </c>
      <c r="D1027" s="242" t="s">
        <v>734</v>
      </c>
      <c r="E1027" s="242" t="s">
        <v>1197</v>
      </c>
      <c r="F1027" s="243">
        <v>735400</v>
      </c>
      <c r="G1027" s="243">
        <v>735400</v>
      </c>
      <c r="H1027" s="243">
        <f t="shared" si="32"/>
        <v>100</v>
      </c>
      <c r="I1027" s="123" t="str">
        <f t="shared" si="33"/>
        <v>011390900Д0000240</v>
      </c>
    </row>
    <row r="1028" spans="1:9">
      <c r="A1028" s="241" t="s">
        <v>1223</v>
      </c>
      <c r="B1028" s="242" t="s">
        <v>66</v>
      </c>
      <c r="C1028" s="242" t="s">
        <v>337</v>
      </c>
      <c r="D1028" s="242" t="s">
        <v>734</v>
      </c>
      <c r="E1028" s="242" t="s">
        <v>329</v>
      </c>
      <c r="F1028" s="243">
        <v>735400</v>
      </c>
      <c r="G1028" s="243">
        <v>735400</v>
      </c>
      <c r="H1028" s="243">
        <f t="shared" si="32"/>
        <v>100</v>
      </c>
      <c r="I1028" s="123" t="str">
        <f t="shared" si="33"/>
        <v>011390900Д0000244</v>
      </c>
    </row>
    <row r="1029" spans="1:9">
      <c r="A1029" s="241" t="s">
        <v>183</v>
      </c>
      <c r="B1029" s="242" t="s">
        <v>66</v>
      </c>
      <c r="C1029" s="242" t="s">
        <v>1140</v>
      </c>
      <c r="D1029" s="242"/>
      <c r="E1029" s="242"/>
      <c r="F1029" s="243">
        <v>494021</v>
      </c>
      <c r="G1029" s="243">
        <v>426521</v>
      </c>
      <c r="H1029" s="243">
        <f t="shared" si="32"/>
        <v>86.336613220895458</v>
      </c>
      <c r="I1029" s="123" t="str">
        <f t="shared" si="33"/>
        <v>0400</v>
      </c>
    </row>
    <row r="1030" spans="1:9">
      <c r="A1030" s="241" t="s">
        <v>145</v>
      </c>
      <c r="B1030" s="242" t="s">
        <v>66</v>
      </c>
      <c r="C1030" s="242" t="s">
        <v>360</v>
      </c>
      <c r="D1030" s="242"/>
      <c r="E1030" s="242"/>
      <c r="F1030" s="243">
        <v>494021</v>
      </c>
      <c r="G1030" s="243">
        <v>426521</v>
      </c>
      <c r="H1030" s="243">
        <f t="shared" ref="H1030:H1092" si="34">G1030/F1030*100</f>
        <v>86.336613220895458</v>
      </c>
      <c r="I1030" s="123" t="str">
        <f t="shared" si="33"/>
        <v>0412</v>
      </c>
    </row>
    <row r="1031" spans="1:9" ht="25.5">
      <c r="A1031" s="241" t="s">
        <v>601</v>
      </c>
      <c r="B1031" s="242" t="s">
        <v>66</v>
      </c>
      <c r="C1031" s="242" t="s">
        <v>360</v>
      </c>
      <c r="D1031" s="242" t="s">
        <v>1011</v>
      </c>
      <c r="E1031" s="242"/>
      <c r="F1031" s="243">
        <v>494021</v>
      </c>
      <c r="G1031" s="243">
        <v>426521</v>
      </c>
      <c r="H1031" s="243">
        <f t="shared" si="34"/>
        <v>86.336613220895458</v>
      </c>
      <c r="I1031" s="123" t="str">
        <f t="shared" si="33"/>
        <v>04129000000000</v>
      </c>
    </row>
    <row r="1032" spans="1:9" ht="25.5">
      <c r="A1032" s="241" t="s">
        <v>431</v>
      </c>
      <c r="B1032" s="242" t="s">
        <v>66</v>
      </c>
      <c r="C1032" s="242" t="s">
        <v>360</v>
      </c>
      <c r="D1032" s="242" t="s">
        <v>1015</v>
      </c>
      <c r="E1032" s="242"/>
      <c r="F1032" s="243">
        <v>494021</v>
      </c>
      <c r="G1032" s="243">
        <v>426521</v>
      </c>
      <c r="H1032" s="243">
        <f t="shared" si="34"/>
        <v>86.336613220895458</v>
      </c>
      <c r="I1032" s="123" t="str">
        <f t="shared" si="33"/>
        <v>04129090000000</v>
      </c>
    </row>
    <row r="1033" spans="1:9" ht="38.25">
      <c r="A1033" s="241" t="s">
        <v>2037</v>
      </c>
      <c r="B1033" s="242" t="s">
        <v>66</v>
      </c>
      <c r="C1033" s="242" t="s">
        <v>360</v>
      </c>
      <c r="D1033" s="242" t="s">
        <v>2038</v>
      </c>
      <c r="E1033" s="242"/>
      <c r="F1033" s="243">
        <v>21</v>
      </c>
      <c r="G1033" s="243">
        <v>21</v>
      </c>
      <c r="H1033" s="243">
        <f t="shared" si="34"/>
        <v>100</v>
      </c>
      <c r="I1033" s="123" t="str">
        <f t="shared" si="33"/>
        <v>04129090080010</v>
      </c>
    </row>
    <row r="1034" spans="1:9">
      <c r="A1034" s="241" t="s">
        <v>1321</v>
      </c>
      <c r="B1034" s="242" t="s">
        <v>66</v>
      </c>
      <c r="C1034" s="242" t="s">
        <v>360</v>
      </c>
      <c r="D1034" s="242" t="s">
        <v>2038</v>
      </c>
      <c r="E1034" s="242" t="s">
        <v>1322</v>
      </c>
      <c r="F1034" s="243">
        <v>21</v>
      </c>
      <c r="G1034" s="243">
        <v>21</v>
      </c>
      <c r="H1034" s="243">
        <f t="shared" si="34"/>
        <v>100</v>
      </c>
      <c r="I1034" s="123" t="str">
        <f t="shared" si="33"/>
        <v>04129090080010800</v>
      </c>
    </row>
    <row r="1035" spans="1:9">
      <c r="A1035" s="241" t="s">
        <v>1201</v>
      </c>
      <c r="B1035" s="242" t="s">
        <v>66</v>
      </c>
      <c r="C1035" s="242" t="s">
        <v>360</v>
      </c>
      <c r="D1035" s="242" t="s">
        <v>2038</v>
      </c>
      <c r="E1035" s="242" t="s">
        <v>1202</v>
      </c>
      <c r="F1035" s="243">
        <v>21</v>
      </c>
      <c r="G1035" s="243">
        <v>21</v>
      </c>
      <c r="H1035" s="243">
        <f t="shared" si="34"/>
        <v>100</v>
      </c>
      <c r="I1035" s="123" t="str">
        <f t="shared" si="33"/>
        <v>04129090080010850</v>
      </c>
    </row>
    <row r="1036" spans="1:9">
      <c r="A1036" s="241" t="s">
        <v>2092</v>
      </c>
      <c r="B1036" s="242" t="s">
        <v>66</v>
      </c>
      <c r="C1036" s="242" t="s">
        <v>360</v>
      </c>
      <c r="D1036" s="242" t="s">
        <v>2038</v>
      </c>
      <c r="E1036" s="242" t="s">
        <v>2093</v>
      </c>
      <c r="F1036" s="243">
        <v>21</v>
      </c>
      <c r="G1036" s="243">
        <v>21</v>
      </c>
      <c r="H1036" s="243">
        <f t="shared" si="34"/>
        <v>100</v>
      </c>
      <c r="I1036" s="123" t="str">
        <f t="shared" si="33"/>
        <v>04129090080010852</v>
      </c>
    </row>
    <row r="1037" spans="1:9" ht="38.25">
      <c r="A1037" s="241" t="s">
        <v>403</v>
      </c>
      <c r="B1037" s="242" t="s">
        <v>66</v>
      </c>
      <c r="C1037" s="242" t="s">
        <v>360</v>
      </c>
      <c r="D1037" s="242" t="s">
        <v>735</v>
      </c>
      <c r="E1037" s="242"/>
      <c r="F1037" s="243">
        <v>426500</v>
      </c>
      <c r="G1037" s="243">
        <v>426500</v>
      </c>
      <c r="H1037" s="243">
        <f t="shared" si="34"/>
        <v>100</v>
      </c>
      <c r="I1037" s="123" t="str">
        <f t="shared" si="33"/>
        <v>041290900Ж0000</v>
      </c>
    </row>
    <row r="1038" spans="1:9" ht="25.5">
      <c r="A1038" s="241" t="s">
        <v>1319</v>
      </c>
      <c r="B1038" s="242" t="s">
        <v>66</v>
      </c>
      <c r="C1038" s="242" t="s">
        <v>360</v>
      </c>
      <c r="D1038" s="242" t="s">
        <v>735</v>
      </c>
      <c r="E1038" s="242" t="s">
        <v>1320</v>
      </c>
      <c r="F1038" s="243">
        <v>426500</v>
      </c>
      <c r="G1038" s="243">
        <v>426500</v>
      </c>
      <c r="H1038" s="243">
        <f t="shared" si="34"/>
        <v>100</v>
      </c>
      <c r="I1038" s="123" t="str">
        <f t="shared" si="33"/>
        <v>041290900Ж0000200</v>
      </c>
    </row>
    <row r="1039" spans="1:9" ht="25.5">
      <c r="A1039" s="241" t="s">
        <v>1196</v>
      </c>
      <c r="B1039" s="242" t="s">
        <v>66</v>
      </c>
      <c r="C1039" s="242" t="s">
        <v>360</v>
      </c>
      <c r="D1039" s="242" t="s">
        <v>735</v>
      </c>
      <c r="E1039" s="242" t="s">
        <v>1197</v>
      </c>
      <c r="F1039" s="243">
        <v>426500</v>
      </c>
      <c r="G1039" s="243">
        <v>426500</v>
      </c>
      <c r="H1039" s="243">
        <f t="shared" si="34"/>
        <v>100</v>
      </c>
      <c r="I1039" s="123" t="str">
        <f t="shared" si="33"/>
        <v>041290900Ж0000240</v>
      </c>
    </row>
    <row r="1040" spans="1:9">
      <c r="A1040" s="241" t="s">
        <v>1223</v>
      </c>
      <c r="B1040" s="242" t="s">
        <v>66</v>
      </c>
      <c r="C1040" s="242" t="s">
        <v>360</v>
      </c>
      <c r="D1040" s="242" t="s">
        <v>735</v>
      </c>
      <c r="E1040" s="242" t="s">
        <v>329</v>
      </c>
      <c r="F1040" s="243">
        <v>426500</v>
      </c>
      <c r="G1040" s="243">
        <v>426500</v>
      </c>
      <c r="H1040" s="243">
        <f t="shared" si="34"/>
        <v>100</v>
      </c>
      <c r="I1040" s="123" t="str">
        <f t="shared" si="33"/>
        <v>041290900Ж0000244</v>
      </c>
    </row>
    <row r="1041" spans="1:9" ht="63.75">
      <c r="A1041" s="241" t="s">
        <v>2252</v>
      </c>
      <c r="B1041" s="242" t="s">
        <v>66</v>
      </c>
      <c r="C1041" s="242" t="s">
        <v>360</v>
      </c>
      <c r="D1041" s="242" t="s">
        <v>2253</v>
      </c>
      <c r="E1041" s="242"/>
      <c r="F1041" s="243">
        <v>67500</v>
      </c>
      <c r="G1041" s="243">
        <v>0</v>
      </c>
      <c r="H1041" s="243">
        <f t="shared" si="34"/>
        <v>0</v>
      </c>
      <c r="I1041" s="123" t="str">
        <f t="shared" si="33"/>
        <v>041290900Ж3000</v>
      </c>
    </row>
    <row r="1042" spans="1:9" ht="25.5">
      <c r="A1042" s="241" t="s">
        <v>1319</v>
      </c>
      <c r="B1042" s="242" t="s">
        <v>66</v>
      </c>
      <c r="C1042" s="242" t="s">
        <v>360</v>
      </c>
      <c r="D1042" s="242" t="s">
        <v>2253</v>
      </c>
      <c r="E1042" s="242" t="s">
        <v>1320</v>
      </c>
      <c r="F1042" s="243">
        <v>67500</v>
      </c>
      <c r="G1042" s="243">
        <v>0</v>
      </c>
      <c r="H1042" s="243">
        <f t="shared" si="34"/>
        <v>0</v>
      </c>
      <c r="I1042" s="123" t="str">
        <f t="shared" si="33"/>
        <v>041290900Ж3000200</v>
      </c>
    </row>
    <row r="1043" spans="1:9" ht="25.5">
      <c r="A1043" s="241" t="s">
        <v>1196</v>
      </c>
      <c r="B1043" s="242" t="s">
        <v>66</v>
      </c>
      <c r="C1043" s="242" t="s">
        <v>360</v>
      </c>
      <c r="D1043" s="242" t="s">
        <v>2253</v>
      </c>
      <c r="E1043" s="242" t="s">
        <v>1197</v>
      </c>
      <c r="F1043" s="243">
        <v>67500</v>
      </c>
      <c r="G1043" s="243">
        <v>0</v>
      </c>
      <c r="H1043" s="243">
        <f t="shared" si="34"/>
        <v>0</v>
      </c>
      <c r="I1043" s="123" t="str">
        <f t="shared" si="33"/>
        <v>041290900Ж3000240</v>
      </c>
    </row>
    <row r="1044" spans="1:9">
      <c r="A1044" s="241" t="s">
        <v>1223</v>
      </c>
      <c r="B1044" s="242" t="s">
        <v>66</v>
      </c>
      <c r="C1044" s="242" t="s">
        <v>360</v>
      </c>
      <c r="D1044" s="242" t="s">
        <v>2253</v>
      </c>
      <c r="E1044" s="242" t="s">
        <v>329</v>
      </c>
      <c r="F1044" s="243">
        <v>67500</v>
      </c>
      <c r="G1044" s="243">
        <v>0</v>
      </c>
      <c r="H1044" s="243">
        <f t="shared" si="34"/>
        <v>0</v>
      </c>
      <c r="I1044" s="123" t="str">
        <f t="shared" si="33"/>
        <v>041290900Ж3000244</v>
      </c>
    </row>
    <row r="1045" spans="1:9">
      <c r="A1045" s="241" t="s">
        <v>239</v>
      </c>
      <c r="B1045" s="242" t="s">
        <v>66</v>
      </c>
      <c r="C1045" s="242" t="s">
        <v>1141</v>
      </c>
      <c r="D1045" s="242"/>
      <c r="E1045" s="242"/>
      <c r="F1045" s="243">
        <v>6256040.2800000003</v>
      </c>
      <c r="G1045" s="243">
        <v>5686278.4800000004</v>
      </c>
      <c r="H1045" s="243">
        <f t="shared" si="34"/>
        <v>90.892612986820481</v>
      </c>
      <c r="I1045" s="123" t="str">
        <f t="shared" si="33"/>
        <v>0500</v>
      </c>
    </row>
    <row r="1046" spans="1:9">
      <c r="A1046" s="241" t="s">
        <v>3</v>
      </c>
      <c r="B1046" s="242" t="s">
        <v>66</v>
      </c>
      <c r="C1046" s="242" t="s">
        <v>386</v>
      </c>
      <c r="D1046" s="242"/>
      <c r="E1046" s="242"/>
      <c r="F1046" s="243">
        <v>1376680.28</v>
      </c>
      <c r="G1046" s="243">
        <v>1376680.28</v>
      </c>
      <c r="H1046" s="243">
        <f t="shared" si="34"/>
        <v>100</v>
      </c>
      <c r="I1046" s="123" t="str">
        <f t="shared" si="33"/>
        <v>0501</v>
      </c>
    </row>
    <row r="1047" spans="1:9" ht="38.25">
      <c r="A1047" s="241" t="s">
        <v>452</v>
      </c>
      <c r="B1047" s="242" t="s">
        <v>66</v>
      </c>
      <c r="C1047" s="242" t="s">
        <v>386</v>
      </c>
      <c r="D1047" s="242" t="s">
        <v>974</v>
      </c>
      <c r="E1047" s="242"/>
      <c r="F1047" s="243">
        <v>618517.54</v>
      </c>
      <c r="G1047" s="243">
        <v>618517.54</v>
      </c>
      <c r="H1047" s="243">
        <f t="shared" si="34"/>
        <v>100</v>
      </c>
      <c r="I1047" s="123" t="str">
        <f t="shared" si="33"/>
        <v>05010300000000</v>
      </c>
    </row>
    <row r="1048" spans="1:9" ht="38.25">
      <c r="A1048" s="241" t="s">
        <v>592</v>
      </c>
      <c r="B1048" s="242" t="s">
        <v>66</v>
      </c>
      <c r="C1048" s="242" t="s">
        <v>386</v>
      </c>
      <c r="D1048" s="242" t="s">
        <v>976</v>
      </c>
      <c r="E1048" s="242"/>
      <c r="F1048" s="243">
        <v>618517.54</v>
      </c>
      <c r="G1048" s="243">
        <v>618517.54</v>
      </c>
      <c r="H1048" s="243">
        <f t="shared" si="34"/>
        <v>100</v>
      </c>
      <c r="I1048" s="123" t="str">
        <f t="shared" si="33"/>
        <v>05010330000000</v>
      </c>
    </row>
    <row r="1049" spans="1:9" ht="89.25">
      <c r="A1049" s="241" t="s">
        <v>529</v>
      </c>
      <c r="B1049" s="242" t="s">
        <v>66</v>
      </c>
      <c r="C1049" s="242" t="s">
        <v>386</v>
      </c>
      <c r="D1049" s="242" t="s">
        <v>737</v>
      </c>
      <c r="E1049" s="242"/>
      <c r="F1049" s="243">
        <v>618517.54</v>
      </c>
      <c r="G1049" s="243">
        <v>618517.54</v>
      </c>
      <c r="H1049" s="243">
        <f t="shared" si="34"/>
        <v>100</v>
      </c>
      <c r="I1049" s="123" t="str">
        <f t="shared" si="33"/>
        <v>05010330080000</v>
      </c>
    </row>
    <row r="1050" spans="1:9" ht="25.5">
      <c r="A1050" s="241" t="s">
        <v>1319</v>
      </c>
      <c r="B1050" s="242" t="s">
        <v>66</v>
      </c>
      <c r="C1050" s="242" t="s">
        <v>386</v>
      </c>
      <c r="D1050" s="242" t="s">
        <v>737</v>
      </c>
      <c r="E1050" s="242" t="s">
        <v>1320</v>
      </c>
      <c r="F1050" s="243">
        <v>618517.54</v>
      </c>
      <c r="G1050" s="243">
        <v>618517.54</v>
      </c>
      <c r="H1050" s="243">
        <f t="shared" si="34"/>
        <v>100</v>
      </c>
      <c r="I1050" s="123" t="str">
        <f t="shared" si="33"/>
        <v>05010330080000200</v>
      </c>
    </row>
    <row r="1051" spans="1:9" ht="25.5">
      <c r="A1051" s="241" t="s">
        <v>1196</v>
      </c>
      <c r="B1051" s="242" t="s">
        <v>66</v>
      </c>
      <c r="C1051" s="242" t="s">
        <v>386</v>
      </c>
      <c r="D1051" s="242" t="s">
        <v>737</v>
      </c>
      <c r="E1051" s="242" t="s">
        <v>1197</v>
      </c>
      <c r="F1051" s="243">
        <v>618517.54</v>
      </c>
      <c r="G1051" s="243">
        <v>618517.54</v>
      </c>
      <c r="H1051" s="243">
        <f t="shared" si="34"/>
        <v>100</v>
      </c>
      <c r="I1051" s="123" t="str">
        <f t="shared" si="33"/>
        <v>05010330080000240</v>
      </c>
    </row>
    <row r="1052" spans="1:9">
      <c r="A1052" s="241" t="s">
        <v>1223</v>
      </c>
      <c r="B1052" s="242" t="s">
        <v>66</v>
      </c>
      <c r="C1052" s="242" t="s">
        <v>386</v>
      </c>
      <c r="D1052" s="242" t="s">
        <v>737</v>
      </c>
      <c r="E1052" s="242" t="s">
        <v>329</v>
      </c>
      <c r="F1052" s="243">
        <v>618517.54</v>
      </c>
      <c r="G1052" s="243">
        <v>618517.54</v>
      </c>
      <c r="H1052" s="243">
        <f t="shared" si="34"/>
        <v>100</v>
      </c>
      <c r="I1052" s="123" t="str">
        <f t="shared" si="33"/>
        <v>05010330080000244</v>
      </c>
    </row>
    <row r="1053" spans="1:9" ht="25.5">
      <c r="A1053" s="241" t="s">
        <v>596</v>
      </c>
      <c r="B1053" s="242" t="s">
        <v>66</v>
      </c>
      <c r="C1053" s="242" t="s">
        <v>386</v>
      </c>
      <c r="D1053" s="242" t="s">
        <v>997</v>
      </c>
      <c r="E1053" s="242"/>
      <c r="F1053" s="243">
        <v>750000</v>
      </c>
      <c r="G1053" s="243">
        <v>750000</v>
      </c>
      <c r="H1053" s="243">
        <f t="shared" si="34"/>
        <v>100</v>
      </c>
      <c r="I1053" s="123" t="str">
        <f t="shared" si="33"/>
        <v>05011000000000</v>
      </c>
    </row>
    <row r="1054" spans="1:9" ht="25.5">
      <c r="A1054" s="241" t="s">
        <v>597</v>
      </c>
      <c r="B1054" s="242" t="s">
        <v>66</v>
      </c>
      <c r="C1054" s="242" t="s">
        <v>386</v>
      </c>
      <c r="D1054" s="242" t="s">
        <v>998</v>
      </c>
      <c r="E1054" s="242"/>
      <c r="F1054" s="243">
        <v>750000</v>
      </c>
      <c r="G1054" s="243">
        <v>750000</v>
      </c>
      <c r="H1054" s="243">
        <f t="shared" si="34"/>
        <v>100</v>
      </c>
      <c r="I1054" s="123" t="str">
        <f t="shared" si="33"/>
        <v>05011050000000</v>
      </c>
    </row>
    <row r="1055" spans="1:9" ht="63.75">
      <c r="A1055" s="241" t="s">
        <v>528</v>
      </c>
      <c r="B1055" s="242" t="s">
        <v>66</v>
      </c>
      <c r="C1055" s="242" t="s">
        <v>386</v>
      </c>
      <c r="D1055" s="242" t="s">
        <v>736</v>
      </c>
      <c r="E1055" s="242"/>
      <c r="F1055" s="243">
        <v>750000</v>
      </c>
      <c r="G1055" s="243">
        <v>750000</v>
      </c>
      <c r="H1055" s="243">
        <f t="shared" si="34"/>
        <v>100</v>
      </c>
      <c r="I1055" s="123" t="str">
        <f t="shared" si="33"/>
        <v>05011050080000</v>
      </c>
    </row>
    <row r="1056" spans="1:9">
      <c r="A1056" s="241" t="s">
        <v>1323</v>
      </c>
      <c r="B1056" s="242" t="s">
        <v>66</v>
      </c>
      <c r="C1056" s="242" t="s">
        <v>386</v>
      </c>
      <c r="D1056" s="242" t="s">
        <v>736</v>
      </c>
      <c r="E1056" s="242" t="s">
        <v>1324</v>
      </c>
      <c r="F1056" s="243">
        <v>750000</v>
      </c>
      <c r="G1056" s="243">
        <v>750000</v>
      </c>
      <c r="H1056" s="243">
        <f t="shared" si="34"/>
        <v>100</v>
      </c>
      <c r="I1056" s="123" t="str">
        <f t="shared" si="33"/>
        <v>05011050080000300</v>
      </c>
    </row>
    <row r="1057" spans="1:9">
      <c r="A1057" s="241" t="s">
        <v>531</v>
      </c>
      <c r="B1057" s="242" t="s">
        <v>66</v>
      </c>
      <c r="C1057" s="242" t="s">
        <v>386</v>
      </c>
      <c r="D1057" s="242" t="s">
        <v>736</v>
      </c>
      <c r="E1057" s="242" t="s">
        <v>532</v>
      </c>
      <c r="F1057" s="243">
        <v>750000</v>
      </c>
      <c r="G1057" s="243">
        <v>750000</v>
      </c>
      <c r="H1057" s="243">
        <f t="shared" si="34"/>
        <v>100</v>
      </c>
      <c r="I1057" s="123" t="str">
        <f t="shared" si="33"/>
        <v>05011050080000360</v>
      </c>
    </row>
    <row r="1058" spans="1:9" ht="25.5">
      <c r="A1058" s="241" t="s">
        <v>601</v>
      </c>
      <c r="B1058" s="242" t="s">
        <v>66</v>
      </c>
      <c r="C1058" s="242" t="s">
        <v>386</v>
      </c>
      <c r="D1058" s="242" t="s">
        <v>1011</v>
      </c>
      <c r="E1058" s="242"/>
      <c r="F1058" s="243">
        <v>8162.74</v>
      </c>
      <c r="G1058" s="243">
        <v>8162.74</v>
      </c>
      <c r="H1058" s="243">
        <f t="shared" si="34"/>
        <v>100</v>
      </c>
      <c r="I1058" s="123" t="str">
        <f t="shared" si="33"/>
        <v>05019000000000</v>
      </c>
    </row>
    <row r="1059" spans="1:9" ht="25.5">
      <c r="A1059" s="241" t="s">
        <v>431</v>
      </c>
      <c r="B1059" s="242" t="s">
        <v>66</v>
      </c>
      <c r="C1059" s="242" t="s">
        <v>386</v>
      </c>
      <c r="D1059" s="242" t="s">
        <v>1015</v>
      </c>
      <c r="E1059" s="242"/>
      <c r="F1059" s="243">
        <v>8162.74</v>
      </c>
      <c r="G1059" s="243">
        <v>8162.74</v>
      </c>
      <c r="H1059" s="243">
        <f t="shared" si="34"/>
        <v>100</v>
      </c>
      <c r="I1059" s="123" t="str">
        <f t="shared" si="33"/>
        <v>05019090000000</v>
      </c>
    </row>
    <row r="1060" spans="1:9" ht="25.5">
      <c r="A1060" s="241" t="s">
        <v>431</v>
      </c>
      <c r="B1060" s="242" t="s">
        <v>66</v>
      </c>
      <c r="C1060" s="242" t="s">
        <v>386</v>
      </c>
      <c r="D1060" s="242" t="s">
        <v>795</v>
      </c>
      <c r="E1060" s="242"/>
      <c r="F1060" s="243">
        <v>8162.74</v>
      </c>
      <c r="G1060" s="243">
        <v>8162.74</v>
      </c>
      <c r="H1060" s="243">
        <f t="shared" si="34"/>
        <v>100</v>
      </c>
      <c r="I1060" s="123" t="str">
        <f t="shared" si="33"/>
        <v>05019090080000</v>
      </c>
    </row>
    <row r="1061" spans="1:9">
      <c r="A1061" s="241" t="s">
        <v>1321</v>
      </c>
      <c r="B1061" s="242" t="s">
        <v>66</v>
      </c>
      <c r="C1061" s="242" t="s">
        <v>386</v>
      </c>
      <c r="D1061" s="242" t="s">
        <v>795</v>
      </c>
      <c r="E1061" s="242" t="s">
        <v>1322</v>
      </c>
      <c r="F1061" s="243">
        <v>8162.74</v>
      </c>
      <c r="G1061" s="243">
        <v>8162.74</v>
      </c>
      <c r="H1061" s="243">
        <f t="shared" si="34"/>
        <v>100</v>
      </c>
      <c r="I1061" s="123" t="str">
        <f t="shared" si="33"/>
        <v>05019090080000800</v>
      </c>
    </row>
    <row r="1062" spans="1:9">
      <c r="A1062" s="241" t="s">
        <v>1201</v>
      </c>
      <c r="B1062" s="242" t="s">
        <v>66</v>
      </c>
      <c r="C1062" s="242" t="s">
        <v>386</v>
      </c>
      <c r="D1062" s="242" t="s">
        <v>795</v>
      </c>
      <c r="E1062" s="242" t="s">
        <v>1202</v>
      </c>
      <c r="F1062" s="243">
        <v>8162.74</v>
      </c>
      <c r="G1062" s="243">
        <v>8162.74</v>
      </c>
      <c r="H1062" s="243">
        <f t="shared" si="34"/>
        <v>100</v>
      </c>
      <c r="I1062" s="123" t="str">
        <f t="shared" ref="I1062:I1125" si="35">CONCATENATE(C1062,D1062,E1062)</f>
        <v>05019090080000850</v>
      </c>
    </row>
    <row r="1063" spans="1:9">
      <c r="A1063" s="241" t="s">
        <v>1057</v>
      </c>
      <c r="B1063" s="242" t="s">
        <v>66</v>
      </c>
      <c r="C1063" s="242" t="s">
        <v>386</v>
      </c>
      <c r="D1063" s="242" t="s">
        <v>795</v>
      </c>
      <c r="E1063" s="242" t="s">
        <v>1058</v>
      </c>
      <c r="F1063" s="243">
        <v>8162.74</v>
      </c>
      <c r="G1063" s="243">
        <v>8162.74</v>
      </c>
      <c r="H1063" s="243">
        <f t="shared" si="34"/>
        <v>100</v>
      </c>
      <c r="I1063" s="123" t="str">
        <f t="shared" si="35"/>
        <v>05019090080000853</v>
      </c>
    </row>
    <row r="1064" spans="1:9">
      <c r="A1064" s="241" t="s">
        <v>146</v>
      </c>
      <c r="B1064" s="242" t="s">
        <v>66</v>
      </c>
      <c r="C1064" s="242" t="s">
        <v>364</v>
      </c>
      <c r="D1064" s="242"/>
      <c r="E1064" s="242"/>
      <c r="F1064" s="243">
        <v>4879360</v>
      </c>
      <c r="G1064" s="243">
        <v>4309598.2</v>
      </c>
      <c r="H1064" s="243">
        <f t="shared" si="34"/>
        <v>88.323021871720883</v>
      </c>
      <c r="I1064" s="123" t="str">
        <f t="shared" si="35"/>
        <v>0502</v>
      </c>
    </row>
    <row r="1065" spans="1:9" ht="38.25">
      <c r="A1065" s="241" t="s">
        <v>452</v>
      </c>
      <c r="B1065" s="242" t="s">
        <v>66</v>
      </c>
      <c r="C1065" s="242" t="s">
        <v>364</v>
      </c>
      <c r="D1065" s="242" t="s">
        <v>974</v>
      </c>
      <c r="E1065" s="242"/>
      <c r="F1065" s="243">
        <v>2234360</v>
      </c>
      <c r="G1065" s="243">
        <v>1664598.2</v>
      </c>
      <c r="H1065" s="243">
        <f t="shared" si="34"/>
        <v>74.5</v>
      </c>
      <c r="I1065" s="123" t="str">
        <f t="shared" si="35"/>
        <v>05020300000000</v>
      </c>
    </row>
    <row r="1066" spans="1:9" ht="38.25">
      <c r="A1066" s="241" t="s">
        <v>593</v>
      </c>
      <c r="B1066" s="242" t="s">
        <v>66</v>
      </c>
      <c r="C1066" s="242" t="s">
        <v>364</v>
      </c>
      <c r="D1066" s="242" t="s">
        <v>977</v>
      </c>
      <c r="E1066" s="242"/>
      <c r="F1066" s="243">
        <v>2234360</v>
      </c>
      <c r="G1066" s="243">
        <v>1664598.2</v>
      </c>
      <c r="H1066" s="243">
        <f t="shared" si="34"/>
        <v>74.5</v>
      </c>
      <c r="I1066" s="123" t="str">
        <f t="shared" si="35"/>
        <v>05020350000000</v>
      </c>
    </row>
    <row r="1067" spans="1:9" ht="204">
      <c r="A1067" s="241" t="s">
        <v>1511</v>
      </c>
      <c r="B1067" s="242" t="s">
        <v>66</v>
      </c>
      <c r="C1067" s="242" t="s">
        <v>364</v>
      </c>
      <c r="D1067" s="242" t="s">
        <v>1501</v>
      </c>
      <c r="E1067" s="242"/>
      <c r="F1067" s="243">
        <v>2234360</v>
      </c>
      <c r="G1067" s="243">
        <v>1664598.2</v>
      </c>
      <c r="H1067" s="243">
        <f t="shared" si="34"/>
        <v>74.5</v>
      </c>
      <c r="I1067" s="123" t="str">
        <f t="shared" si="35"/>
        <v>050203500S5710</v>
      </c>
    </row>
    <row r="1068" spans="1:9" ht="25.5">
      <c r="A1068" s="241" t="s">
        <v>1319</v>
      </c>
      <c r="B1068" s="242" t="s">
        <v>66</v>
      </c>
      <c r="C1068" s="242" t="s">
        <v>364</v>
      </c>
      <c r="D1068" s="242" t="s">
        <v>1501</v>
      </c>
      <c r="E1068" s="242" t="s">
        <v>1320</v>
      </c>
      <c r="F1068" s="243">
        <v>2234360</v>
      </c>
      <c r="G1068" s="243">
        <v>1664598.2</v>
      </c>
      <c r="H1068" s="243">
        <f t="shared" si="34"/>
        <v>74.5</v>
      </c>
      <c r="I1068" s="123" t="str">
        <f t="shared" si="35"/>
        <v>050203500S5710200</v>
      </c>
    </row>
    <row r="1069" spans="1:9" ht="25.5">
      <c r="A1069" s="241" t="s">
        <v>1196</v>
      </c>
      <c r="B1069" s="242" t="s">
        <v>66</v>
      </c>
      <c r="C1069" s="242" t="s">
        <v>364</v>
      </c>
      <c r="D1069" s="242" t="s">
        <v>1501</v>
      </c>
      <c r="E1069" s="242" t="s">
        <v>1197</v>
      </c>
      <c r="F1069" s="243">
        <v>2234360</v>
      </c>
      <c r="G1069" s="243">
        <v>1664598.2</v>
      </c>
      <c r="H1069" s="243">
        <f t="shared" si="34"/>
        <v>74.5</v>
      </c>
      <c r="I1069" s="123" t="str">
        <f t="shared" si="35"/>
        <v>050203500S5710240</v>
      </c>
    </row>
    <row r="1070" spans="1:9">
      <c r="A1070" s="241" t="s">
        <v>1223</v>
      </c>
      <c r="B1070" s="242" t="s">
        <v>66</v>
      </c>
      <c r="C1070" s="242" t="s">
        <v>364</v>
      </c>
      <c r="D1070" s="242" t="s">
        <v>1501</v>
      </c>
      <c r="E1070" s="242" t="s">
        <v>329</v>
      </c>
      <c r="F1070" s="243">
        <v>2234360</v>
      </c>
      <c r="G1070" s="243">
        <v>1664598.2</v>
      </c>
      <c r="H1070" s="243">
        <f t="shared" si="34"/>
        <v>74.5</v>
      </c>
      <c r="I1070" s="123" t="str">
        <f t="shared" si="35"/>
        <v>050203500S5710244</v>
      </c>
    </row>
    <row r="1071" spans="1:9" ht="25.5">
      <c r="A1071" s="241" t="s">
        <v>601</v>
      </c>
      <c r="B1071" s="242" t="s">
        <v>66</v>
      </c>
      <c r="C1071" s="242" t="s">
        <v>364</v>
      </c>
      <c r="D1071" s="242" t="s">
        <v>1011</v>
      </c>
      <c r="E1071" s="242"/>
      <c r="F1071" s="243">
        <v>2645000</v>
      </c>
      <c r="G1071" s="243">
        <v>2645000</v>
      </c>
      <c r="H1071" s="243">
        <f t="shared" si="34"/>
        <v>100</v>
      </c>
      <c r="I1071" s="123" t="str">
        <f t="shared" si="35"/>
        <v>05029000000000</v>
      </c>
    </row>
    <row r="1072" spans="1:9" ht="38.25">
      <c r="A1072" s="241" t="s">
        <v>427</v>
      </c>
      <c r="B1072" s="242" t="s">
        <v>66</v>
      </c>
      <c r="C1072" s="242" t="s">
        <v>364</v>
      </c>
      <c r="D1072" s="242" t="s">
        <v>1012</v>
      </c>
      <c r="E1072" s="242"/>
      <c r="F1072" s="243">
        <v>2645000</v>
      </c>
      <c r="G1072" s="243">
        <v>2645000</v>
      </c>
      <c r="H1072" s="243">
        <f t="shared" si="34"/>
        <v>100</v>
      </c>
      <c r="I1072" s="123" t="str">
        <f t="shared" si="35"/>
        <v>05029010000000</v>
      </c>
    </row>
    <row r="1073" spans="1:9" ht="38.25">
      <c r="A1073" s="241" t="s">
        <v>427</v>
      </c>
      <c r="B1073" s="242" t="s">
        <v>66</v>
      </c>
      <c r="C1073" s="242" t="s">
        <v>364</v>
      </c>
      <c r="D1073" s="242" t="s">
        <v>793</v>
      </c>
      <c r="E1073" s="242"/>
      <c r="F1073" s="243">
        <v>2645000</v>
      </c>
      <c r="G1073" s="243">
        <v>2645000</v>
      </c>
      <c r="H1073" s="243">
        <f t="shared" si="34"/>
        <v>100</v>
      </c>
      <c r="I1073" s="123" t="str">
        <f t="shared" si="35"/>
        <v>05029010080000</v>
      </c>
    </row>
    <row r="1074" spans="1:9" ht="25.5">
      <c r="A1074" s="241" t="s">
        <v>1319</v>
      </c>
      <c r="B1074" s="242" t="s">
        <v>66</v>
      </c>
      <c r="C1074" s="242" t="s">
        <v>364</v>
      </c>
      <c r="D1074" s="242" t="s">
        <v>793</v>
      </c>
      <c r="E1074" s="242" t="s">
        <v>1320</v>
      </c>
      <c r="F1074" s="243">
        <v>2645000</v>
      </c>
      <c r="G1074" s="243">
        <v>2645000</v>
      </c>
      <c r="H1074" s="243">
        <f t="shared" si="34"/>
        <v>100</v>
      </c>
      <c r="I1074" s="123" t="str">
        <f t="shared" si="35"/>
        <v>05029010080000200</v>
      </c>
    </row>
    <row r="1075" spans="1:9" ht="25.5">
      <c r="A1075" s="241" t="s">
        <v>1196</v>
      </c>
      <c r="B1075" s="242" t="s">
        <v>66</v>
      </c>
      <c r="C1075" s="242" t="s">
        <v>364</v>
      </c>
      <c r="D1075" s="242" t="s">
        <v>793</v>
      </c>
      <c r="E1075" s="242" t="s">
        <v>1197</v>
      </c>
      <c r="F1075" s="243">
        <v>2645000</v>
      </c>
      <c r="G1075" s="243">
        <v>2645000</v>
      </c>
      <c r="H1075" s="243">
        <f t="shared" si="34"/>
        <v>100</v>
      </c>
      <c r="I1075" s="123" t="str">
        <f t="shared" si="35"/>
        <v>05029010080000240</v>
      </c>
    </row>
    <row r="1076" spans="1:9">
      <c r="A1076" s="241" t="s">
        <v>1223</v>
      </c>
      <c r="B1076" s="242" t="s">
        <v>66</v>
      </c>
      <c r="C1076" s="242" t="s">
        <v>364</v>
      </c>
      <c r="D1076" s="242" t="s">
        <v>793</v>
      </c>
      <c r="E1076" s="242" t="s">
        <v>329</v>
      </c>
      <c r="F1076" s="243">
        <v>2645000</v>
      </c>
      <c r="G1076" s="243">
        <v>2645000</v>
      </c>
      <c r="H1076" s="243">
        <f t="shared" si="34"/>
        <v>100</v>
      </c>
      <c r="I1076" s="123" t="str">
        <f t="shared" si="35"/>
        <v>05029010080000244</v>
      </c>
    </row>
    <row r="1077" spans="1:9">
      <c r="A1077" s="241" t="s">
        <v>141</v>
      </c>
      <c r="B1077" s="242" t="s">
        <v>66</v>
      </c>
      <c r="C1077" s="242" t="s">
        <v>1143</v>
      </c>
      <c r="D1077" s="242"/>
      <c r="E1077" s="242"/>
      <c r="F1077" s="243">
        <v>6001169.0999999996</v>
      </c>
      <c r="G1077" s="243">
        <v>6001169.0999999996</v>
      </c>
      <c r="H1077" s="243">
        <f t="shared" si="34"/>
        <v>100</v>
      </c>
      <c r="I1077" s="123" t="str">
        <f t="shared" si="35"/>
        <v>1000</v>
      </c>
    </row>
    <row r="1078" spans="1:9">
      <c r="A1078" s="241" t="s">
        <v>98</v>
      </c>
      <c r="B1078" s="242" t="s">
        <v>66</v>
      </c>
      <c r="C1078" s="242" t="s">
        <v>378</v>
      </c>
      <c r="D1078" s="242"/>
      <c r="E1078" s="242"/>
      <c r="F1078" s="243">
        <v>6001169.0999999996</v>
      </c>
      <c r="G1078" s="243">
        <v>6001169.0999999996</v>
      </c>
      <c r="H1078" s="243">
        <f t="shared" si="34"/>
        <v>100</v>
      </c>
      <c r="I1078" s="123" t="str">
        <f t="shared" si="35"/>
        <v>1003</v>
      </c>
    </row>
    <row r="1079" spans="1:9" ht="25.5">
      <c r="A1079" s="241" t="s">
        <v>442</v>
      </c>
      <c r="B1079" s="242" t="s">
        <v>66</v>
      </c>
      <c r="C1079" s="242" t="s">
        <v>378</v>
      </c>
      <c r="D1079" s="242" t="s">
        <v>971</v>
      </c>
      <c r="E1079" s="242"/>
      <c r="F1079" s="243">
        <v>2503049.1</v>
      </c>
      <c r="G1079" s="243">
        <v>2503049.1</v>
      </c>
      <c r="H1079" s="243">
        <f t="shared" si="34"/>
        <v>100</v>
      </c>
      <c r="I1079" s="123" t="str">
        <f t="shared" si="35"/>
        <v>10030100000000</v>
      </c>
    </row>
    <row r="1080" spans="1:9" ht="38.25">
      <c r="A1080" s="241" t="s">
        <v>445</v>
      </c>
      <c r="B1080" s="242" t="s">
        <v>66</v>
      </c>
      <c r="C1080" s="242" t="s">
        <v>378</v>
      </c>
      <c r="D1080" s="242" t="s">
        <v>1134</v>
      </c>
      <c r="E1080" s="242"/>
      <c r="F1080" s="243">
        <v>2503049.1</v>
      </c>
      <c r="G1080" s="243">
        <v>2503049.1</v>
      </c>
      <c r="H1080" s="243">
        <f t="shared" si="34"/>
        <v>100</v>
      </c>
      <c r="I1080" s="123" t="str">
        <f t="shared" si="35"/>
        <v>10030120000000</v>
      </c>
    </row>
    <row r="1081" spans="1:9" ht="114.75">
      <c r="A1081" s="241" t="s">
        <v>1352</v>
      </c>
      <c r="B1081" s="242" t="s">
        <v>66</v>
      </c>
      <c r="C1081" s="242" t="s">
        <v>378</v>
      </c>
      <c r="D1081" s="242" t="s">
        <v>1353</v>
      </c>
      <c r="E1081" s="242"/>
      <c r="F1081" s="243">
        <v>2503049.1</v>
      </c>
      <c r="G1081" s="243">
        <v>2503049.1</v>
      </c>
      <c r="H1081" s="243">
        <f t="shared" si="34"/>
        <v>100</v>
      </c>
      <c r="I1081" s="123" t="str">
        <f t="shared" si="35"/>
        <v>10030120075870</v>
      </c>
    </row>
    <row r="1082" spans="1:9" ht="25.5">
      <c r="A1082" s="241" t="s">
        <v>1325</v>
      </c>
      <c r="B1082" s="242" t="s">
        <v>66</v>
      </c>
      <c r="C1082" s="242" t="s">
        <v>378</v>
      </c>
      <c r="D1082" s="242" t="s">
        <v>1353</v>
      </c>
      <c r="E1082" s="242" t="s">
        <v>1326</v>
      </c>
      <c r="F1082" s="243">
        <v>2503049.1</v>
      </c>
      <c r="G1082" s="243">
        <v>2503049.1</v>
      </c>
      <c r="H1082" s="243">
        <f t="shared" si="34"/>
        <v>100</v>
      </c>
      <c r="I1082" s="123" t="str">
        <f t="shared" si="35"/>
        <v>10030120075870400</v>
      </c>
    </row>
    <row r="1083" spans="1:9">
      <c r="A1083" s="241" t="s">
        <v>1207</v>
      </c>
      <c r="B1083" s="242" t="s">
        <v>66</v>
      </c>
      <c r="C1083" s="242" t="s">
        <v>378</v>
      </c>
      <c r="D1083" s="242" t="s">
        <v>1353</v>
      </c>
      <c r="E1083" s="242" t="s">
        <v>75</v>
      </c>
      <c r="F1083" s="243">
        <v>2503049.1</v>
      </c>
      <c r="G1083" s="243">
        <v>2503049.1</v>
      </c>
      <c r="H1083" s="243">
        <f t="shared" si="34"/>
        <v>100</v>
      </c>
      <c r="I1083" s="123" t="str">
        <f t="shared" si="35"/>
        <v>10030120075870410</v>
      </c>
    </row>
    <row r="1084" spans="1:9" ht="38.25">
      <c r="A1084" s="241" t="s">
        <v>404</v>
      </c>
      <c r="B1084" s="242" t="s">
        <v>66</v>
      </c>
      <c r="C1084" s="242" t="s">
        <v>378</v>
      </c>
      <c r="D1084" s="242" t="s">
        <v>1353</v>
      </c>
      <c r="E1084" s="242" t="s">
        <v>405</v>
      </c>
      <c r="F1084" s="243">
        <v>2503049.1</v>
      </c>
      <c r="G1084" s="243">
        <v>2503049.1</v>
      </c>
      <c r="H1084" s="243">
        <f t="shared" si="34"/>
        <v>100</v>
      </c>
      <c r="I1084" s="123" t="str">
        <f t="shared" si="35"/>
        <v>10030120075870412</v>
      </c>
    </row>
    <row r="1085" spans="1:9">
      <c r="A1085" s="241" t="s">
        <v>466</v>
      </c>
      <c r="B1085" s="242" t="s">
        <v>66</v>
      </c>
      <c r="C1085" s="242" t="s">
        <v>378</v>
      </c>
      <c r="D1085" s="242" t="s">
        <v>985</v>
      </c>
      <c r="E1085" s="242"/>
      <c r="F1085" s="243">
        <v>3498120</v>
      </c>
      <c r="G1085" s="243">
        <v>3498120</v>
      </c>
      <c r="H1085" s="243">
        <f t="shared" si="34"/>
        <v>100</v>
      </c>
      <c r="I1085" s="123" t="str">
        <f t="shared" si="35"/>
        <v>10030600000000</v>
      </c>
    </row>
    <row r="1086" spans="1:9" ht="25.5">
      <c r="A1086" s="241" t="s">
        <v>471</v>
      </c>
      <c r="B1086" s="242" t="s">
        <v>66</v>
      </c>
      <c r="C1086" s="242" t="s">
        <v>378</v>
      </c>
      <c r="D1086" s="242" t="s">
        <v>2082</v>
      </c>
      <c r="E1086" s="242"/>
      <c r="F1086" s="243">
        <v>3498120</v>
      </c>
      <c r="G1086" s="243">
        <v>3498120</v>
      </c>
      <c r="H1086" s="243">
        <f t="shared" si="34"/>
        <v>100</v>
      </c>
      <c r="I1086" s="123" t="str">
        <f t="shared" si="35"/>
        <v>10030630000000</v>
      </c>
    </row>
    <row r="1087" spans="1:9" ht="76.5">
      <c r="A1087" s="241" t="s">
        <v>1516</v>
      </c>
      <c r="B1087" s="242" t="s">
        <v>66</v>
      </c>
      <c r="C1087" s="242" t="s">
        <v>378</v>
      </c>
      <c r="D1087" s="242" t="s">
        <v>1231</v>
      </c>
      <c r="E1087" s="242"/>
      <c r="F1087" s="243">
        <v>3498120</v>
      </c>
      <c r="G1087" s="243">
        <v>3498120</v>
      </c>
      <c r="H1087" s="243">
        <f t="shared" si="34"/>
        <v>100</v>
      </c>
      <c r="I1087" s="123" t="str">
        <f t="shared" si="35"/>
        <v>100306300L4970</v>
      </c>
    </row>
    <row r="1088" spans="1:9">
      <c r="A1088" s="241" t="s">
        <v>1323</v>
      </c>
      <c r="B1088" s="242" t="s">
        <v>66</v>
      </c>
      <c r="C1088" s="242" t="s">
        <v>378</v>
      </c>
      <c r="D1088" s="242" t="s">
        <v>1231</v>
      </c>
      <c r="E1088" s="242" t="s">
        <v>1324</v>
      </c>
      <c r="F1088" s="243">
        <v>3498120</v>
      </c>
      <c r="G1088" s="243">
        <v>3498120</v>
      </c>
      <c r="H1088" s="243">
        <f t="shared" si="34"/>
        <v>100</v>
      </c>
      <c r="I1088" s="123" t="str">
        <f t="shared" si="35"/>
        <v>100306300L4970300</v>
      </c>
    </row>
    <row r="1089" spans="1:9" ht="25.5">
      <c r="A1089" s="241" t="s">
        <v>1200</v>
      </c>
      <c r="B1089" s="242" t="s">
        <v>66</v>
      </c>
      <c r="C1089" s="242" t="s">
        <v>378</v>
      </c>
      <c r="D1089" s="242" t="s">
        <v>1231</v>
      </c>
      <c r="E1089" s="242" t="s">
        <v>557</v>
      </c>
      <c r="F1089" s="243">
        <v>3498120</v>
      </c>
      <c r="G1089" s="243">
        <v>3498120</v>
      </c>
      <c r="H1089" s="243">
        <f t="shared" si="34"/>
        <v>100</v>
      </c>
      <c r="I1089" s="123" t="str">
        <f t="shared" si="35"/>
        <v>100306300L4970320</v>
      </c>
    </row>
    <row r="1090" spans="1:9">
      <c r="A1090" s="241" t="s">
        <v>2083</v>
      </c>
      <c r="B1090" s="242" t="s">
        <v>66</v>
      </c>
      <c r="C1090" s="242" t="s">
        <v>378</v>
      </c>
      <c r="D1090" s="242" t="s">
        <v>1231</v>
      </c>
      <c r="E1090" s="242" t="s">
        <v>602</v>
      </c>
      <c r="F1090" s="243">
        <v>3498120</v>
      </c>
      <c r="G1090" s="243">
        <v>3498120</v>
      </c>
      <c r="H1090" s="243">
        <f t="shared" si="34"/>
        <v>100</v>
      </c>
      <c r="I1090" s="123" t="str">
        <f t="shared" si="35"/>
        <v>100306300L4970322</v>
      </c>
    </row>
    <row r="1091" spans="1:9" ht="25.5">
      <c r="A1091" s="241" t="s">
        <v>254</v>
      </c>
      <c r="B1091" s="242" t="s">
        <v>207</v>
      </c>
      <c r="C1091" s="242"/>
      <c r="D1091" s="242"/>
      <c r="E1091" s="242"/>
      <c r="F1091" s="243">
        <v>1730613816.1800001</v>
      </c>
      <c r="G1091" s="243">
        <v>1699953542.21</v>
      </c>
      <c r="H1091" s="243">
        <f t="shared" si="34"/>
        <v>98.228358419229735</v>
      </c>
      <c r="I1091" s="123" t="str">
        <f t="shared" si="35"/>
        <v/>
      </c>
    </row>
    <row r="1092" spans="1:9">
      <c r="A1092" s="241" t="s">
        <v>140</v>
      </c>
      <c r="B1092" s="242" t="s">
        <v>207</v>
      </c>
      <c r="C1092" s="242" t="s">
        <v>1142</v>
      </c>
      <c r="D1092" s="242"/>
      <c r="E1092" s="242"/>
      <c r="F1092" s="243">
        <v>1677636186.0699999</v>
      </c>
      <c r="G1092" s="243">
        <v>1649206632.8499999</v>
      </c>
      <c r="H1092" s="243">
        <f t="shared" si="34"/>
        <v>98.3053803049755</v>
      </c>
      <c r="I1092" s="123" t="str">
        <f t="shared" si="35"/>
        <v>0700</v>
      </c>
    </row>
    <row r="1093" spans="1:9">
      <c r="A1093" s="241" t="s">
        <v>152</v>
      </c>
      <c r="B1093" s="242" t="s">
        <v>207</v>
      </c>
      <c r="C1093" s="242" t="s">
        <v>408</v>
      </c>
      <c r="D1093" s="242"/>
      <c r="E1093" s="242"/>
      <c r="F1093" s="243">
        <v>524710554.77999997</v>
      </c>
      <c r="G1093" s="243">
        <v>513688938.77999997</v>
      </c>
      <c r="H1093" s="243">
        <f t="shared" ref="H1093:H1156" si="36">G1093/F1093*100</f>
        <v>97.899486507447691</v>
      </c>
      <c r="I1093" s="123" t="str">
        <f t="shared" si="35"/>
        <v>0701</v>
      </c>
    </row>
    <row r="1094" spans="1:9" ht="25.5">
      <c r="A1094" s="241" t="s">
        <v>442</v>
      </c>
      <c r="B1094" s="242" t="s">
        <v>207</v>
      </c>
      <c r="C1094" s="242" t="s">
        <v>408</v>
      </c>
      <c r="D1094" s="242" t="s">
        <v>971</v>
      </c>
      <c r="E1094" s="242"/>
      <c r="F1094" s="243">
        <v>524710554.77999997</v>
      </c>
      <c r="G1094" s="243">
        <v>513688938.77999997</v>
      </c>
      <c r="H1094" s="243">
        <f t="shared" si="36"/>
        <v>97.899486507447691</v>
      </c>
      <c r="I1094" s="123" t="str">
        <f t="shared" si="35"/>
        <v>07010100000000</v>
      </c>
    </row>
    <row r="1095" spans="1:9" ht="25.5">
      <c r="A1095" s="241" t="s">
        <v>443</v>
      </c>
      <c r="B1095" s="242" t="s">
        <v>207</v>
      </c>
      <c r="C1095" s="242" t="s">
        <v>408</v>
      </c>
      <c r="D1095" s="242" t="s">
        <v>972</v>
      </c>
      <c r="E1095" s="242"/>
      <c r="F1095" s="243">
        <v>524710554.77999997</v>
      </c>
      <c r="G1095" s="243">
        <v>513688938.77999997</v>
      </c>
      <c r="H1095" s="243">
        <f t="shared" si="36"/>
        <v>97.899486507447691</v>
      </c>
      <c r="I1095" s="123" t="str">
        <f t="shared" si="35"/>
        <v>07010110000000</v>
      </c>
    </row>
    <row r="1096" spans="1:9" ht="102">
      <c r="A1096" s="241" t="s">
        <v>2254</v>
      </c>
      <c r="B1096" s="242" t="s">
        <v>207</v>
      </c>
      <c r="C1096" s="242" t="s">
        <v>408</v>
      </c>
      <c r="D1096" s="242" t="s">
        <v>2255</v>
      </c>
      <c r="E1096" s="242"/>
      <c r="F1096" s="243">
        <v>84000</v>
      </c>
      <c r="G1096" s="243">
        <v>84000</v>
      </c>
      <c r="H1096" s="243">
        <f t="shared" si="36"/>
        <v>100</v>
      </c>
      <c r="I1096" s="123" t="str">
        <f t="shared" si="35"/>
        <v>07010110008530</v>
      </c>
    </row>
    <row r="1097" spans="1:9" ht="25.5">
      <c r="A1097" s="241" t="s">
        <v>1319</v>
      </c>
      <c r="B1097" s="242" t="s">
        <v>207</v>
      </c>
      <c r="C1097" s="242" t="s">
        <v>408</v>
      </c>
      <c r="D1097" s="242" t="s">
        <v>2255</v>
      </c>
      <c r="E1097" s="242" t="s">
        <v>1320</v>
      </c>
      <c r="F1097" s="243">
        <v>84000</v>
      </c>
      <c r="G1097" s="243">
        <v>84000</v>
      </c>
      <c r="H1097" s="243">
        <f t="shared" si="36"/>
        <v>100</v>
      </c>
      <c r="I1097" s="123" t="str">
        <f t="shared" si="35"/>
        <v>07010110008530200</v>
      </c>
    </row>
    <row r="1098" spans="1:9" ht="25.5">
      <c r="A1098" s="241" t="s">
        <v>1196</v>
      </c>
      <c r="B1098" s="242" t="s">
        <v>207</v>
      </c>
      <c r="C1098" s="242" t="s">
        <v>408</v>
      </c>
      <c r="D1098" s="242" t="s">
        <v>2255</v>
      </c>
      <c r="E1098" s="242" t="s">
        <v>1197</v>
      </c>
      <c r="F1098" s="243">
        <v>84000</v>
      </c>
      <c r="G1098" s="243">
        <v>84000</v>
      </c>
      <c r="H1098" s="243">
        <f t="shared" si="36"/>
        <v>100</v>
      </c>
      <c r="I1098" s="123" t="str">
        <f t="shared" si="35"/>
        <v>07010110008530240</v>
      </c>
    </row>
    <row r="1099" spans="1:9">
      <c r="A1099" s="241" t="s">
        <v>1223</v>
      </c>
      <c r="B1099" s="242" t="s">
        <v>207</v>
      </c>
      <c r="C1099" s="242" t="s">
        <v>408</v>
      </c>
      <c r="D1099" s="242" t="s">
        <v>2255</v>
      </c>
      <c r="E1099" s="242" t="s">
        <v>329</v>
      </c>
      <c r="F1099" s="243">
        <v>84000</v>
      </c>
      <c r="G1099" s="243">
        <v>84000</v>
      </c>
      <c r="H1099" s="243">
        <f t="shared" si="36"/>
        <v>100</v>
      </c>
      <c r="I1099" s="123" t="str">
        <f t="shared" si="35"/>
        <v>07010110008530244</v>
      </c>
    </row>
    <row r="1100" spans="1:9" ht="89.25">
      <c r="A1100" s="241" t="s">
        <v>2228</v>
      </c>
      <c r="B1100" s="242" t="s">
        <v>207</v>
      </c>
      <c r="C1100" s="242" t="s">
        <v>408</v>
      </c>
      <c r="D1100" s="242" t="s">
        <v>2229</v>
      </c>
      <c r="E1100" s="242"/>
      <c r="F1100" s="243">
        <v>299460</v>
      </c>
      <c r="G1100" s="243">
        <v>299459.36</v>
      </c>
      <c r="H1100" s="243">
        <f t="shared" si="36"/>
        <v>99.99978628197421</v>
      </c>
      <c r="I1100" s="123" t="str">
        <f t="shared" si="35"/>
        <v>07010110010340</v>
      </c>
    </row>
    <row r="1101" spans="1:9" ht="63.75">
      <c r="A1101" s="241" t="s">
        <v>1318</v>
      </c>
      <c r="B1101" s="242" t="s">
        <v>207</v>
      </c>
      <c r="C1101" s="242" t="s">
        <v>408</v>
      </c>
      <c r="D1101" s="242" t="s">
        <v>2229</v>
      </c>
      <c r="E1101" s="242" t="s">
        <v>273</v>
      </c>
      <c r="F1101" s="243">
        <v>299460</v>
      </c>
      <c r="G1101" s="243">
        <v>299459.36</v>
      </c>
      <c r="H1101" s="243">
        <f t="shared" si="36"/>
        <v>99.99978628197421</v>
      </c>
      <c r="I1101" s="123" t="str">
        <f t="shared" si="35"/>
        <v>07010110010340100</v>
      </c>
    </row>
    <row r="1102" spans="1:9">
      <c r="A1102" s="241" t="s">
        <v>1190</v>
      </c>
      <c r="B1102" s="242" t="s">
        <v>207</v>
      </c>
      <c r="C1102" s="242" t="s">
        <v>408</v>
      </c>
      <c r="D1102" s="242" t="s">
        <v>2229</v>
      </c>
      <c r="E1102" s="242" t="s">
        <v>133</v>
      </c>
      <c r="F1102" s="243">
        <v>299460</v>
      </c>
      <c r="G1102" s="243">
        <v>299459.36</v>
      </c>
      <c r="H1102" s="243">
        <f t="shared" si="36"/>
        <v>99.99978628197421</v>
      </c>
      <c r="I1102" s="123" t="str">
        <f t="shared" si="35"/>
        <v>07010110010340110</v>
      </c>
    </row>
    <row r="1103" spans="1:9">
      <c r="A1103" s="241" t="s">
        <v>1138</v>
      </c>
      <c r="B1103" s="242" t="s">
        <v>207</v>
      </c>
      <c r="C1103" s="242" t="s">
        <v>408</v>
      </c>
      <c r="D1103" s="242" t="s">
        <v>2229</v>
      </c>
      <c r="E1103" s="242" t="s">
        <v>342</v>
      </c>
      <c r="F1103" s="243">
        <v>230000</v>
      </c>
      <c r="G1103" s="243">
        <v>229999.35999999999</v>
      </c>
      <c r="H1103" s="243">
        <f t="shared" si="36"/>
        <v>99.999721739130436</v>
      </c>
      <c r="I1103" s="123" t="str">
        <f t="shared" si="35"/>
        <v>07010110010340111</v>
      </c>
    </row>
    <row r="1104" spans="1:9" ht="38.25">
      <c r="A1104" s="241" t="s">
        <v>1139</v>
      </c>
      <c r="B1104" s="242" t="s">
        <v>207</v>
      </c>
      <c r="C1104" s="242" t="s">
        <v>408</v>
      </c>
      <c r="D1104" s="242" t="s">
        <v>2229</v>
      </c>
      <c r="E1104" s="242" t="s">
        <v>1056</v>
      </c>
      <c r="F1104" s="243">
        <v>69460</v>
      </c>
      <c r="G1104" s="243">
        <v>69460</v>
      </c>
      <c r="H1104" s="243">
        <f t="shared" si="36"/>
        <v>100</v>
      </c>
      <c r="I1104" s="123" t="str">
        <f t="shared" si="35"/>
        <v>07010110010340119</v>
      </c>
    </row>
    <row r="1105" spans="1:9" ht="89.25">
      <c r="A1105" s="241" t="s">
        <v>2090</v>
      </c>
      <c r="B1105" s="242" t="s">
        <v>207</v>
      </c>
      <c r="C1105" s="242" t="s">
        <v>408</v>
      </c>
      <c r="D1105" s="242" t="s">
        <v>2091</v>
      </c>
      <c r="E1105" s="242"/>
      <c r="F1105" s="243">
        <v>1402992.5</v>
      </c>
      <c r="G1105" s="243">
        <v>1391271.65</v>
      </c>
      <c r="H1105" s="243">
        <f t="shared" si="36"/>
        <v>99.164582134259433</v>
      </c>
      <c r="I1105" s="123" t="str">
        <f t="shared" si="35"/>
        <v>07010110027242</v>
      </c>
    </row>
    <row r="1106" spans="1:9" ht="63.75">
      <c r="A1106" s="241" t="s">
        <v>1318</v>
      </c>
      <c r="B1106" s="242" t="s">
        <v>207</v>
      </c>
      <c r="C1106" s="242" t="s">
        <v>408</v>
      </c>
      <c r="D1106" s="242" t="s">
        <v>2091</v>
      </c>
      <c r="E1106" s="242" t="s">
        <v>273</v>
      </c>
      <c r="F1106" s="243">
        <v>1402992.5</v>
      </c>
      <c r="G1106" s="243">
        <v>1391271.65</v>
      </c>
      <c r="H1106" s="243">
        <f t="shared" si="36"/>
        <v>99.164582134259433</v>
      </c>
      <c r="I1106" s="123" t="str">
        <f t="shared" si="35"/>
        <v>07010110027242100</v>
      </c>
    </row>
    <row r="1107" spans="1:9">
      <c r="A1107" s="241" t="s">
        <v>1190</v>
      </c>
      <c r="B1107" s="242" t="s">
        <v>207</v>
      </c>
      <c r="C1107" s="242" t="s">
        <v>408</v>
      </c>
      <c r="D1107" s="242" t="s">
        <v>2091</v>
      </c>
      <c r="E1107" s="242" t="s">
        <v>133</v>
      </c>
      <c r="F1107" s="243">
        <v>1402992.5</v>
      </c>
      <c r="G1107" s="243">
        <v>1391271.65</v>
      </c>
      <c r="H1107" s="243">
        <f t="shared" si="36"/>
        <v>99.164582134259433</v>
      </c>
      <c r="I1107" s="123" t="str">
        <f t="shared" si="35"/>
        <v>07010110027242110</v>
      </c>
    </row>
    <row r="1108" spans="1:9">
      <c r="A1108" s="241" t="s">
        <v>1138</v>
      </c>
      <c r="B1108" s="242" t="s">
        <v>207</v>
      </c>
      <c r="C1108" s="242" t="s">
        <v>408</v>
      </c>
      <c r="D1108" s="242" t="s">
        <v>2091</v>
      </c>
      <c r="E1108" s="242" t="s">
        <v>342</v>
      </c>
      <c r="F1108" s="243">
        <v>1050560</v>
      </c>
      <c r="G1108" s="243">
        <v>1041557.2</v>
      </c>
      <c r="H1108" s="243">
        <f t="shared" si="36"/>
        <v>99.143047517514461</v>
      </c>
      <c r="I1108" s="123" t="str">
        <f t="shared" si="35"/>
        <v>07010110027242111</v>
      </c>
    </row>
    <row r="1109" spans="1:9" ht="38.25">
      <c r="A1109" s="241" t="s">
        <v>1139</v>
      </c>
      <c r="B1109" s="242" t="s">
        <v>207</v>
      </c>
      <c r="C1109" s="242" t="s">
        <v>408</v>
      </c>
      <c r="D1109" s="242" t="s">
        <v>2091</v>
      </c>
      <c r="E1109" s="242" t="s">
        <v>1056</v>
      </c>
      <c r="F1109" s="243">
        <v>352432.5</v>
      </c>
      <c r="G1109" s="243">
        <v>349714.45</v>
      </c>
      <c r="H1109" s="243">
        <f t="shared" si="36"/>
        <v>99.228774304299407</v>
      </c>
      <c r="I1109" s="123" t="str">
        <f t="shared" si="35"/>
        <v>07010110027242119</v>
      </c>
    </row>
    <row r="1110" spans="1:9" ht="102">
      <c r="A1110" s="241" t="s">
        <v>410</v>
      </c>
      <c r="B1110" s="242" t="s">
        <v>207</v>
      </c>
      <c r="C1110" s="242" t="s">
        <v>408</v>
      </c>
      <c r="D1110" s="242" t="s">
        <v>742</v>
      </c>
      <c r="E1110" s="242"/>
      <c r="F1110" s="243">
        <v>54286451.520000003</v>
      </c>
      <c r="G1110" s="243">
        <v>53017155.219999999</v>
      </c>
      <c r="H1110" s="243">
        <f t="shared" si="36"/>
        <v>97.66185435875768</v>
      </c>
      <c r="I1110" s="123" t="str">
        <f t="shared" si="35"/>
        <v>07010110040010</v>
      </c>
    </row>
    <row r="1111" spans="1:9" ht="63.75">
      <c r="A1111" s="241" t="s">
        <v>1318</v>
      </c>
      <c r="B1111" s="242" t="s">
        <v>207</v>
      </c>
      <c r="C1111" s="242" t="s">
        <v>408</v>
      </c>
      <c r="D1111" s="242" t="s">
        <v>742</v>
      </c>
      <c r="E1111" s="242" t="s">
        <v>273</v>
      </c>
      <c r="F1111" s="243">
        <v>30968098.789999999</v>
      </c>
      <c r="G1111" s="243">
        <v>30728646.899999999</v>
      </c>
      <c r="H1111" s="243">
        <f t="shared" si="36"/>
        <v>99.226778848699226</v>
      </c>
      <c r="I1111" s="123" t="str">
        <f t="shared" si="35"/>
        <v>07010110040010100</v>
      </c>
    </row>
    <row r="1112" spans="1:9">
      <c r="A1112" s="241" t="s">
        <v>1190</v>
      </c>
      <c r="B1112" s="242" t="s">
        <v>207</v>
      </c>
      <c r="C1112" s="242" t="s">
        <v>408</v>
      </c>
      <c r="D1112" s="242" t="s">
        <v>742</v>
      </c>
      <c r="E1112" s="242" t="s">
        <v>133</v>
      </c>
      <c r="F1112" s="243">
        <v>30968098.789999999</v>
      </c>
      <c r="G1112" s="243">
        <v>30728646.899999999</v>
      </c>
      <c r="H1112" s="243">
        <f t="shared" si="36"/>
        <v>99.226778848699226</v>
      </c>
      <c r="I1112" s="123" t="str">
        <f t="shared" si="35"/>
        <v>07010110040010110</v>
      </c>
    </row>
    <row r="1113" spans="1:9">
      <c r="A1113" s="241" t="s">
        <v>1138</v>
      </c>
      <c r="B1113" s="242" t="s">
        <v>207</v>
      </c>
      <c r="C1113" s="242" t="s">
        <v>408</v>
      </c>
      <c r="D1113" s="242" t="s">
        <v>742</v>
      </c>
      <c r="E1113" s="242" t="s">
        <v>342</v>
      </c>
      <c r="F1113" s="243">
        <v>23716526.379999999</v>
      </c>
      <c r="G1113" s="243">
        <v>23533498.449999999</v>
      </c>
      <c r="H1113" s="243">
        <f t="shared" si="36"/>
        <v>99.228268393661793</v>
      </c>
      <c r="I1113" s="123" t="str">
        <f t="shared" si="35"/>
        <v>07010110040010111</v>
      </c>
    </row>
    <row r="1114" spans="1:9" ht="25.5">
      <c r="A1114" s="241" t="s">
        <v>1147</v>
      </c>
      <c r="B1114" s="242" t="s">
        <v>207</v>
      </c>
      <c r="C1114" s="242" t="s">
        <v>408</v>
      </c>
      <c r="D1114" s="242" t="s">
        <v>742</v>
      </c>
      <c r="E1114" s="242" t="s">
        <v>391</v>
      </c>
      <c r="F1114" s="243">
        <v>206442.87</v>
      </c>
      <c r="G1114" s="243">
        <v>206413.13</v>
      </c>
      <c r="H1114" s="243">
        <f t="shared" si="36"/>
        <v>99.985594077431699</v>
      </c>
      <c r="I1114" s="123" t="str">
        <f t="shared" si="35"/>
        <v>07010110040010112</v>
      </c>
    </row>
    <row r="1115" spans="1:9" ht="38.25">
      <c r="A1115" s="241" t="s">
        <v>1139</v>
      </c>
      <c r="B1115" s="242" t="s">
        <v>207</v>
      </c>
      <c r="C1115" s="242" t="s">
        <v>408</v>
      </c>
      <c r="D1115" s="242" t="s">
        <v>742</v>
      </c>
      <c r="E1115" s="242" t="s">
        <v>1056</v>
      </c>
      <c r="F1115" s="243">
        <v>7045129.54</v>
      </c>
      <c r="G1115" s="243">
        <v>6988735.3200000003</v>
      </c>
      <c r="H1115" s="243">
        <f t="shared" si="36"/>
        <v>99.19952898410439</v>
      </c>
      <c r="I1115" s="123" t="str">
        <f t="shared" si="35"/>
        <v>07010110040010119</v>
      </c>
    </row>
    <row r="1116" spans="1:9" ht="25.5">
      <c r="A1116" s="241" t="s">
        <v>1319</v>
      </c>
      <c r="B1116" s="242" t="s">
        <v>207</v>
      </c>
      <c r="C1116" s="242" t="s">
        <v>408</v>
      </c>
      <c r="D1116" s="242" t="s">
        <v>742</v>
      </c>
      <c r="E1116" s="242" t="s">
        <v>1320</v>
      </c>
      <c r="F1116" s="243">
        <v>22539523.640000001</v>
      </c>
      <c r="G1116" s="243">
        <v>21524985.079999998</v>
      </c>
      <c r="H1116" s="243">
        <f t="shared" si="36"/>
        <v>95.498846487600389</v>
      </c>
      <c r="I1116" s="123" t="str">
        <f t="shared" si="35"/>
        <v>07010110040010200</v>
      </c>
    </row>
    <row r="1117" spans="1:9" ht="25.5">
      <c r="A1117" s="241" t="s">
        <v>1196</v>
      </c>
      <c r="B1117" s="242" t="s">
        <v>207</v>
      </c>
      <c r="C1117" s="242" t="s">
        <v>408</v>
      </c>
      <c r="D1117" s="242" t="s">
        <v>742</v>
      </c>
      <c r="E1117" s="242" t="s">
        <v>1197</v>
      </c>
      <c r="F1117" s="243">
        <v>22539523.640000001</v>
      </c>
      <c r="G1117" s="243">
        <v>21524985.079999998</v>
      </c>
      <c r="H1117" s="243">
        <f t="shared" si="36"/>
        <v>95.498846487600389</v>
      </c>
      <c r="I1117" s="123" t="str">
        <f t="shared" si="35"/>
        <v>07010110040010240</v>
      </c>
    </row>
    <row r="1118" spans="1:9">
      <c r="A1118" s="241" t="s">
        <v>1223</v>
      </c>
      <c r="B1118" s="242" t="s">
        <v>207</v>
      </c>
      <c r="C1118" s="242" t="s">
        <v>408</v>
      </c>
      <c r="D1118" s="242" t="s">
        <v>742</v>
      </c>
      <c r="E1118" s="242" t="s">
        <v>329</v>
      </c>
      <c r="F1118" s="243">
        <v>22539523.640000001</v>
      </c>
      <c r="G1118" s="243">
        <v>21524985.079999998</v>
      </c>
      <c r="H1118" s="243">
        <f t="shared" si="36"/>
        <v>95.498846487600389</v>
      </c>
      <c r="I1118" s="123" t="str">
        <f t="shared" si="35"/>
        <v>07010110040010244</v>
      </c>
    </row>
    <row r="1119" spans="1:9">
      <c r="A1119" s="241" t="s">
        <v>1321</v>
      </c>
      <c r="B1119" s="242" t="s">
        <v>207</v>
      </c>
      <c r="C1119" s="242" t="s">
        <v>408</v>
      </c>
      <c r="D1119" s="242" t="s">
        <v>742</v>
      </c>
      <c r="E1119" s="242" t="s">
        <v>1322</v>
      </c>
      <c r="F1119" s="243">
        <v>778829.09</v>
      </c>
      <c r="G1119" s="243">
        <v>763523.24</v>
      </c>
      <c r="H1119" s="243">
        <f t="shared" si="36"/>
        <v>98.034761387764817</v>
      </c>
      <c r="I1119" s="123" t="str">
        <f t="shared" si="35"/>
        <v>07010110040010800</v>
      </c>
    </row>
    <row r="1120" spans="1:9">
      <c r="A1120" s="241" t="s">
        <v>1210</v>
      </c>
      <c r="B1120" s="242" t="s">
        <v>207</v>
      </c>
      <c r="C1120" s="242" t="s">
        <v>408</v>
      </c>
      <c r="D1120" s="242" t="s">
        <v>742</v>
      </c>
      <c r="E1120" s="242" t="s">
        <v>201</v>
      </c>
      <c r="F1120" s="243">
        <v>34213.910000000003</v>
      </c>
      <c r="G1120" s="243">
        <v>31921</v>
      </c>
      <c r="H1120" s="243">
        <f t="shared" si="36"/>
        <v>93.298310540946645</v>
      </c>
      <c r="I1120" s="123" t="str">
        <f t="shared" si="35"/>
        <v>07010110040010830</v>
      </c>
    </row>
    <row r="1121" spans="1:9" ht="38.25">
      <c r="A1121" s="241" t="s">
        <v>1162</v>
      </c>
      <c r="B1121" s="242" t="s">
        <v>207</v>
      </c>
      <c r="C1121" s="242" t="s">
        <v>408</v>
      </c>
      <c r="D1121" s="242" t="s">
        <v>742</v>
      </c>
      <c r="E1121" s="242" t="s">
        <v>432</v>
      </c>
      <c r="F1121" s="243">
        <v>34213.910000000003</v>
      </c>
      <c r="G1121" s="243">
        <v>31921</v>
      </c>
      <c r="H1121" s="243">
        <f t="shared" si="36"/>
        <v>93.298310540946645</v>
      </c>
      <c r="I1121" s="123" t="str">
        <f t="shared" si="35"/>
        <v>07010110040010831</v>
      </c>
    </row>
    <row r="1122" spans="1:9">
      <c r="A1122" s="241" t="s">
        <v>1201</v>
      </c>
      <c r="B1122" s="242" t="s">
        <v>207</v>
      </c>
      <c r="C1122" s="242" t="s">
        <v>408</v>
      </c>
      <c r="D1122" s="242" t="s">
        <v>742</v>
      </c>
      <c r="E1122" s="242" t="s">
        <v>1202</v>
      </c>
      <c r="F1122" s="243">
        <v>744615.18</v>
      </c>
      <c r="G1122" s="243">
        <v>731602.24</v>
      </c>
      <c r="H1122" s="243">
        <f t="shared" si="36"/>
        <v>98.252393941257012</v>
      </c>
      <c r="I1122" s="123" t="str">
        <f t="shared" si="35"/>
        <v>07010110040010850</v>
      </c>
    </row>
    <row r="1123" spans="1:9">
      <c r="A1123" s="241" t="s">
        <v>2092</v>
      </c>
      <c r="B1123" s="242" t="s">
        <v>207</v>
      </c>
      <c r="C1123" s="242" t="s">
        <v>408</v>
      </c>
      <c r="D1123" s="242" t="s">
        <v>742</v>
      </c>
      <c r="E1123" s="242" t="s">
        <v>2093</v>
      </c>
      <c r="F1123" s="243">
        <v>7153.54</v>
      </c>
      <c r="G1123" s="243">
        <v>7153.54</v>
      </c>
      <c r="H1123" s="243">
        <f t="shared" si="36"/>
        <v>100</v>
      </c>
      <c r="I1123" s="123" t="str">
        <f t="shared" si="35"/>
        <v>07010110040010852</v>
      </c>
    </row>
    <row r="1124" spans="1:9">
      <c r="A1124" s="241" t="s">
        <v>1057</v>
      </c>
      <c r="B1124" s="242" t="s">
        <v>207</v>
      </c>
      <c r="C1124" s="242" t="s">
        <v>408</v>
      </c>
      <c r="D1124" s="242" t="s">
        <v>742</v>
      </c>
      <c r="E1124" s="242" t="s">
        <v>1058</v>
      </c>
      <c r="F1124" s="243">
        <v>737461.64</v>
      </c>
      <c r="G1124" s="243">
        <v>724448.7</v>
      </c>
      <c r="H1124" s="243">
        <f t="shared" si="36"/>
        <v>98.235441778368298</v>
      </c>
      <c r="I1124" s="123" t="str">
        <f t="shared" si="35"/>
        <v>07010110040010853</v>
      </c>
    </row>
    <row r="1125" spans="1:9" ht="140.25">
      <c r="A1125" s="241" t="s">
        <v>572</v>
      </c>
      <c r="B1125" s="242" t="s">
        <v>207</v>
      </c>
      <c r="C1125" s="242" t="s">
        <v>408</v>
      </c>
      <c r="D1125" s="242" t="s">
        <v>743</v>
      </c>
      <c r="E1125" s="242"/>
      <c r="F1125" s="243">
        <v>77400100.379999995</v>
      </c>
      <c r="G1125" s="243">
        <v>77144900.400000006</v>
      </c>
      <c r="H1125" s="243">
        <f t="shared" si="36"/>
        <v>99.670284691173435</v>
      </c>
      <c r="I1125" s="123" t="str">
        <f t="shared" si="35"/>
        <v>07010110041010</v>
      </c>
    </row>
    <row r="1126" spans="1:9" ht="63.75">
      <c r="A1126" s="241" t="s">
        <v>1318</v>
      </c>
      <c r="B1126" s="242" t="s">
        <v>207</v>
      </c>
      <c r="C1126" s="242" t="s">
        <v>408</v>
      </c>
      <c r="D1126" s="242" t="s">
        <v>743</v>
      </c>
      <c r="E1126" s="242" t="s">
        <v>273</v>
      </c>
      <c r="F1126" s="243">
        <v>77400100.379999995</v>
      </c>
      <c r="G1126" s="243">
        <v>77144900.400000006</v>
      </c>
      <c r="H1126" s="243">
        <f t="shared" si="36"/>
        <v>99.670284691173435</v>
      </c>
      <c r="I1126" s="123" t="str">
        <f t="shared" ref="I1126:I1189" si="37">CONCATENATE(C1126,D1126,E1126)</f>
        <v>07010110041010100</v>
      </c>
    </row>
    <row r="1127" spans="1:9">
      <c r="A1127" s="241" t="s">
        <v>1190</v>
      </c>
      <c r="B1127" s="242" t="s">
        <v>207</v>
      </c>
      <c r="C1127" s="242" t="s">
        <v>408</v>
      </c>
      <c r="D1127" s="242" t="s">
        <v>743</v>
      </c>
      <c r="E1127" s="242" t="s">
        <v>133</v>
      </c>
      <c r="F1127" s="243">
        <v>77400100.379999995</v>
      </c>
      <c r="G1127" s="243">
        <v>77144900.400000006</v>
      </c>
      <c r="H1127" s="243">
        <f t="shared" si="36"/>
        <v>99.670284691173435</v>
      </c>
      <c r="I1127" s="123" t="str">
        <f t="shared" si="37"/>
        <v>07010110041010110</v>
      </c>
    </row>
    <row r="1128" spans="1:9">
      <c r="A1128" s="241" t="s">
        <v>1138</v>
      </c>
      <c r="B1128" s="242" t="s">
        <v>207</v>
      </c>
      <c r="C1128" s="242" t="s">
        <v>408</v>
      </c>
      <c r="D1128" s="242" t="s">
        <v>743</v>
      </c>
      <c r="E1128" s="242" t="s">
        <v>342</v>
      </c>
      <c r="F1128" s="243">
        <v>59416481.549999997</v>
      </c>
      <c r="G1128" s="243">
        <v>59227376.960000001</v>
      </c>
      <c r="H1128" s="243">
        <f t="shared" si="36"/>
        <v>99.681730413739061</v>
      </c>
      <c r="I1128" s="123" t="str">
        <f t="shared" si="37"/>
        <v>07010110041010111</v>
      </c>
    </row>
    <row r="1129" spans="1:9" ht="38.25">
      <c r="A1129" s="241" t="s">
        <v>1139</v>
      </c>
      <c r="B1129" s="242" t="s">
        <v>207</v>
      </c>
      <c r="C1129" s="242" t="s">
        <v>408</v>
      </c>
      <c r="D1129" s="242" t="s">
        <v>743</v>
      </c>
      <c r="E1129" s="242" t="s">
        <v>1056</v>
      </c>
      <c r="F1129" s="243">
        <v>17983618.829999998</v>
      </c>
      <c r="G1129" s="243">
        <v>17917523.440000001</v>
      </c>
      <c r="H1129" s="243">
        <f t="shared" si="36"/>
        <v>99.63246891170904</v>
      </c>
      <c r="I1129" s="123" t="str">
        <f t="shared" si="37"/>
        <v>07010110041010119</v>
      </c>
    </row>
    <row r="1130" spans="1:9" ht="114.75">
      <c r="A1130" s="241" t="s">
        <v>2084</v>
      </c>
      <c r="B1130" s="242" t="s">
        <v>207</v>
      </c>
      <c r="C1130" s="242" t="s">
        <v>408</v>
      </c>
      <c r="D1130" s="242" t="s">
        <v>2085</v>
      </c>
      <c r="E1130" s="242"/>
      <c r="F1130" s="243">
        <v>20000</v>
      </c>
      <c r="G1130" s="243">
        <v>19710</v>
      </c>
      <c r="H1130" s="243">
        <f t="shared" si="36"/>
        <v>98.550000000000011</v>
      </c>
      <c r="I1130" s="123" t="str">
        <f t="shared" si="37"/>
        <v>07010110043010</v>
      </c>
    </row>
    <row r="1131" spans="1:9" ht="25.5">
      <c r="A1131" s="241" t="s">
        <v>1319</v>
      </c>
      <c r="B1131" s="242" t="s">
        <v>207</v>
      </c>
      <c r="C1131" s="242" t="s">
        <v>408</v>
      </c>
      <c r="D1131" s="242" t="s">
        <v>2085</v>
      </c>
      <c r="E1131" s="242" t="s">
        <v>1320</v>
      </c>
      <c r="F1131" s="243">
        <v>20000</v>
      </c>
      <c r="G1131" s="243">
        <v>19710</v>
      </c>
      <c r="H1131" s="243">
        <f t="shared" si="36"/>
        <v>98.550000000000011</v>
      </c>
      <c r="I1131" s="123" t="str">
        <f t="shared" si="37"/>
        <v>07010110043010200</v>
      </c>
    </row>
    <row r="1132" spans="1:9" ht="25.5">
      <c r="A1132" s="241" t="s">
        <v>1196</v>
      </c>
      <c r="B1132" s="242" t="s">
        <v>207</v>
      </c>
      <c r="C1132" s="242" t="s">
        <v>408</v>
      </c>
      <c r="D1132" s="242" t="s">
        <v>2085</v>
      </c>
      <c r="E1132" s="242" t="s">
        <v>1197</v>
      </c>
      <c r="F1132" s="243">
        <v>20000</v>
      </c>
      <c r="G1132" s="243">
        <v>19710</v>
      </c>
      <c r="H1132" s="243">
        <f t="shared" si="36"/>
        <v>98.550000000000011</v>
      </c>
      <c r="I1132" s="123" t="str">
        <f t="shared" si="37"/>
        <v>07010110043010240</v>
      </c>
    </row>
    <row r="1133" spans="1:9">
      <c r="A1133" s="241" t="s">
        <v>1223</v>
      </c>
      <c r="B1133" s="242" t="s">
        <v>207</v>
      </c>
      <c r="C1133" s="242" t="s">
        <v>408</v>
      </c>
      <c r="D1133" s="242" t="s">
        <v>2085</v>
      </c>
      <c r="E1133" s="242" t="s">
        <v>329</v>
      </c>
      <c r="F1133" s="243">
        <v>20000</v>
      </c>
      <c r="G1133" s="243">
        <v>19710</v>
      </c>
      <c r="H1133" s="243">
        <f t="shared" si="36"/>
        <v>98.550000000000011</v>
      </c>
      <c r="I1133" s="123" t="str">
        <f t="shared" si="37"/>
        <v>07010110043010244</v>
      </c>
    </row>
    <row r="1134" spans="1:9" ht="102">
      <c r="A1134" s="241" t="s">
        <v>573</v>
      </c>
      <c r="B1134" s="242" t="s">
        <v>207</v>
      </c>
      <c r="C1134" s="242" t="s">
        <v>408</v>
      </c>
      <c r="D1134" s="242" t="s">
        <v>744</v>
      </c>
      <c r="E1134" s="242"/>
      <c r="F1134" s="243">
        <v>502003.77</v>
      </c>
      <c r="G1134" s="243">
        <v>502003.37</v>
      </c>
      <c r="H1134" s="243">
        <f t="shared" si="36"/>
        <v>99.999920319323493</v>
      </c>
      <c r="I1134" s="123" t="str">
        <f t="shared" si="37"/>
        <v>07010110047010</v>
      </c>
    </row>
    <row r="1135" spans="1:9" ht="63.75">
      <c r="A1135" s="241" t="s">
        <v>1318</v>
      </c>
      <c r="B1135" s="242" t="s">
        <v>207</v>
      </c>
      <c r="C1135" s="242" t="s">
        <v>408</v>
      </c>
      <c r="D1135" s="242" t="s">
        <v>744</v>
      </c>
      <c r="E1135" s="242" t="s">
        <v>273</v>
      </c>
      <c r="F1135" s="243">
        <v>502003.77</v>
      </c>
      <c r="G1135" s="243">
        <v>502003.37</v>
      </c>
      <c r="H1135" s="243">
        <f t="shared" si="36"/>
        <v>99.999920319323493</v>
      </c>
      <c r="I1135" s="123" t="str">
        <f t="shared" si="37"/>
        <v>07010110047010100</v>
      </c>
    </row>
    <row r="1136" spans="1:9">
      <c r="A1136" s="241" t="s">
        <v>1190</v>
      </c>
      <c r="B1136" s="242" t="s">
        <v>207</v>
      </c>
      <c r="C1136" s="242" t="s">
        <v>408</v>
      </c>
      <c r="D1136" s="242" t="s">
        <v>744</v>
      </c>
      <c r="E1136" s="242" t="s">
        <v>133</v>
      </c>
      <c r="F1136" s="243">
        <v>502003.77</v>
      </c>
      <c r="G1136" s="243">
        <v>502003.37</v>
      </c>
      <c r="H1136" s="243">
        <f t="shared" si="36"/>
        <v>99.999920319323493</v>
      </c>
      <c r="I1136" s="123" t="str">
        <f t="shared" si="37"/>
        <v>07010110047010110</v>
      </c>
    </row>
    <row r="1137" spans="1:9" ht="25.5">
      <c r="A1137" s="241" t="s">
        <v>1147</v>
      </c>
      <c r="B1137" s="242" t="s">
        <v>207</v>
      </c>
      <c r="C1137" s="242" t="s">
        <v>408</v>
      </c>
      <c r="D1137" s="242" t="s">
        <v>744</v>
      </c>
      <c r="E1137" s="242" t="s">
        <v>391</v>
      </c>
      <c r="F1137" s="243">
        <v>502003.77</v>
      </c>
      <c r="G1137" s="243">
        <v>502003.37</v>
      </c>
      <c r="H1137" s="243">
        <f t="shared" si="36"/>
        <v>99.999920319323493</v>
      </c>
      <c r="I1137" s="123" t="str">
        <f t="shared" si="37"/>
        <v>07010110047010112</v>
      </c>
    </row>
    <row r="1138" spans="1:9" ht="114.75">
      <c r="A1138" s="241" t="s">
        <v>574</v>
      </c>
      <c r="B1138" s="242" t="s">
        <v>207</v>
      </c>
      <c r="C1138" s="242" t="s">
        <v>408</v>
      </c>
      <c r="D1138" s="242" t="s">
        <v>745</v>
      </c>
      <c r="E1138" s="242"/>
      <c r="F1138" s="243">
        <v>47955935.869999997</v>
      </c>
      <c r="G1138" s="243">
        <v>46652728.119999997</v>
      </c>
      <c r="H1138" s="243">
        <f t="shared" si="36"/>
        <v>97.282489171866516</v>
      </c>
      <c r="I1138" s="123" t="str">
        <f t="shared" si="37"/>
        <v>0701011004Г010</v>
      </c>
    </row>
    <row r="1139" spans="1:9" ht="25.5">
      <c r="A1139" s="241" t="s">
        <v>1319</v>
      </c>
      <c r="B1139" s="242" t="s">
        <v>207</v>
      </c>
      <c r="C1139" s="242" t="s">
        <v>408</v>
      </c>
      <c r="D1139" s="242" t="s">
        <v>745</v>
      </c>
      <c r="E1139" s="242" t="s">
        <v>1320</v>
      </c>
      <c r="F1139" s="243">
        <v>47955935.869999997</v>
      </c>
      <c r="G1139" s="243">
        <v>46652728.119999997</v>
      </c>
      <c r="H1139" s="243">
        <f t="shared" si="36"/>
        <v>97.282489171866516</v>
      </c>
      <c r="I1139" s="123" t="str">
        <f t="shared" si="37"/>
        <v>0701011004Г010200</v>
      </c>
    </row>
    <row r="1140" spans="1:9" ht="25.5">
      <c r="A1140" s="241" t="s">
        <v>1196</v>
      </c>
      <c r="B1140" s="242" t="s">
        <v>207</v>
      </c>
      <c r="C1140" s="242" t="s">
        <v>408</v>
      </c>
      <c r="D1140" s="242" t="s">
        <v>745</v>
      </c>
      <c r="E1140" s="242" t="s">
        <v>1197</v>
      </c>
      <c r="F1140" s="243">
        <v>47955935.869999997</v>
      </c>
      <c r="G1140" s="243">
        <v>46652728.119999997</v>
      </c>
      <c r="H1140" s="243">
        <f t="shared" si="36"/>
        <v>97.282489171866516</v>
      </c>
      <c r="I1140" s="123" t="str">
        <f t="shared" si="37"/>
        <v>0701011004Г010240</v>
      </c>
    </row>
    <row r="1141" spans="1:9">
      <c r="A1141" s="241" t="s">
        <v>1223</v>
      </c>
      <c r="B1141" s="242" t="s">
        <v>207</v>
      </c>
      <c r="C1141" s="242" t="s">
        <v>408</v>
      </c>
      <c r="D1141" s="242" t="s">
        <v>745</v>
      </c>
      <c r="E1141" s="242" t="s">
        <v>329</v>
      </c>
      <c r="F1141" s="243">
        <v>5458073.6200000001</v>
      </c>
      <c r="G1141" s="243">
        <v>4552232.8</v>
      </c>
      <c r="H1141" s="243">
        <f t="shared" si="36"/>
        <v>83.403653320454836</v>
      </c>
      <c r="I1141" s="123" t="str">
        <f t="shared" si="37"/>
        <v>0701011004Г010244</v>
      </c>
    </row>
    <row r="1142" spans="1:9">
      <c r="A1142" s="241" t="s">
        <v>1699</v>
      </c>
      <c r="B1142" s="242" t="s">
        <v>207</v>
      </c>
      <c r="C1142" s="242" t="s">
        <v>408</v>
      </c>
      <c r="D1142" s="242" t="s">
        <v>745</v>
      </c>
      <c r="E1142" s="242" t="s">
        <v>1700</v>
      </c>
      <c r="F1142" s="243">
        <v>42497862.25</v>
      </c>
      <c r="G1142" s="243">
        <v>42100495.32</v>
      </c>
      <c r="H1142" s="243">
        <f t="shared" si="36"/>
        <v>99.064971956324698</v>
      </c>
      <c r="I1142" s="123" t="str">
        <f t="shared" si="37"/>
        <v>0701011004Г010247</v>
      </c>
    </row>
    <row r="1143" spans="1:9" ht="114.75">
      <c r="A1143" s="241" t="s">
        <v>1781</v>
      </c>
      <c r="B1143" s="242" t="s">
        <v>207</v>
      </c>
      <c r="C1143" s="242" t="s">
        <v>408</v>
      </c>
      <c r="D1143" s="242" t="s">
        <v>1782</v>
      </c>
      <c r="E1143" s="242"/>
      <c r="F1143" s="243">
        <v>1179909.73</v>
      </c>
      <c r="G1143" s="243">
        <v>1163839.6200000001</v>
      </c>
      <c r="H1143" s="243">
        <f t="shared" si="36"/>
        <v>98.638022079875569</v>
      </c>
      <c r="I1143" s="123" t="str">
        <f t="shared" si="37"/>
        <v>0701011004М010</v>
      </c>
    </row>
    <row r="1144" spans="1:9" ht="25.5">
      <c r="A1144" s="241" t="s">
        <v>1319</v>
      </c>
      <c r="B1144" s="242" t="s">
        <v>207</v>
      </c>
      <c r="C1144" s="242" t="s">
        <v>408</v>
      </c>
      <c r="D1144" s="242" t="s">
        <v>1782</v>
      </c>
      <c r="E1144" s="242" t="s">
        <v>1320</v>
      </c>
      <c r="F1144" s="243">
        <v>1179909.73</v>
      </c>
      <c r="G1144" s="243">
        <v>1163839.6200000001</v>
      </c>
      <c r="H1144" s="243">
        <f t="shared" si="36"/>
        <v>98.638022079875569</v>
      </c>
      <c r="I1144" s="123" t="str">
        <f t="shared" si="37"/>
        <v>0701011004М010200</v>
      </c>
    </row>
    <row r="1145" spans="1:9" ht="25.5">
      <c r="A1145" s="241" t="s">
        <v>1196</v>
      </c>
      <c r="B1145" s="242" t="s">
        <v>207</v>
      </c>
      <c r="C1145" s="242" t="s">
        <v>408</v>
      </c>
      <c r="D1145" s="242" t="s">
        <v>1782</v>
      </c>
      <c r="E1145" s="242" t="s">
        <v>1197</v>
      </c>
      <c r="F1145" s="243">
        <v>1179909.73</v>
      </c>
      <c r="G1145" s="243">
        <v>1163839.6200000001</v>
      </c>
      <c r="H1145" s="243">
        <f t="shared" si="36"/>
        <v>98.638022079875569</v>
      </c>
      <c r="I1145" s="123" t="str">
        <f t="shared" si="37"/>
        <v>0701011004М010240</v>
      </c>
    </row>
    <row r="1146" spans="1:9">
      <c r="A1146" s="241" t="s">
        <v>1223</v>
      </c>
      <c r="B1146" s="242" t="s">
        <v>207</v>
      </c>
      <c r="C1146" s="242" t="s">
        <v>408</v>
      </c>
      <c r="D1146" s="242" t="s">
        <v>1782</v>
      </c>
      <c r="E1146" s="242" t="s">
        <v>329</v>
      </c>
      <c r="F1146" s="243">
        <v>1179909.73</v>
      </c>
      <c r="G1146" s="243">
        <v>1163839.6200000001</v>
      </c>
      <c r="H1146" s="243">
        <f t="shared" si="36"/>
        <v>98.638022079875569</v>
      </c>
      <c r="I1146" s="123" t="str">
        <f t="shared" si="37"/>
        <v>0701011004М010244</v>
      </c>
    </row>
    <row r="1147" spans="1:9" ht="102">
      <c r="A1147" s="241" t="s">
        <v>575</v>
      </c>
      <c r="B1147" s="242" t="s">
        <v>207</v>
      </c>
      <c r="C1147" s="242" t="s">
        <v>408</v>
      </c>
      <c r="D1147" s="242" t="s">
        <v>746</v>
      </c>
      <c r="E1147" s="242"/>
      <c r="F1147" s="243">
        <v>38380326.82</v>
      </c>
      <c r="G1147" s="243">
        <v>37827973.770000003</v>
      </c>
      <c r="H1147" s="243">
        <f t="shared" si="36"/>
        <v>98.560843286743022</v>
      </c>
      <c r="I1147" s="123" t="str">
        <f t="shared" si="37"/>
        <v>0701011004П010</v>
      </c>
    </row>
    <row r="1148" spans="1:9" ht="25.5">
      <c r="A1148" s="241" t="s">
        <v>1319</v>
      </c>
      <c r="B1148" s="242" t="s">
        <v>207</v>
      </c>
      <c r="C1148" s="242" t="s">
        <v>408</v>
      </c>
      <c r="D1148" s="242" t="s">
        <v>746</v>
      </c>
      <c r="E1148" s="242" t="s">
        <v>1320</v>
      </c>
      <c r="F1148" s="243">
        <v>38380326.82</v>
      </c>
      <c r="G1148" s="243">
        <v>37827973.770000003</v>
      </c>
      <c r="H1148" s="243">
        <f t="shared" si="36"/>
        <v>98.560843286743022</v>
      </c>
      <c r="I1148" s="123" t="str">
        <f t="shared" si="37"/>
        <v>0701011004П010200</v>
      </c>
    </row>
    <row r="1149" spans="1:9" ht="25.5">
      <c r="A1149" s="241" t="s">
        <v>1196</v>
      </c>
      <c r="B1149" s="242" t="s">
        <v>207</v>
      </c>
      <c r="C1149" s="242" t="s">
        <v>408</v>
      </c>
      <c r="D1149" s="242" t="s">
        <v>746</v>
      </c>
      <c r="E1149" s="242" t="s">
        <v>1197</v>
      </c>
      <c r="F1149" s="243">
        <v>38380326.82</v>
      </c>
      <c r="G1149" s="243">
        <v>37827973.770000003</v>
      </c>
      <c r="H1149" s="243">
        <f t="shared" si="36"/>
        <v>98.560843286743022</v>
      </c>
      <c r="I1149" s="123" t="str">
        <f t="shared" si="37"/>
        <v>0701011004П010240</v>
      </c>
    </row>
    <row r="1150" spans="1:9">
      <c r="A1150" s="241" t="s">
        <v>1223</v>
      </c>
      <c r="B1150" s="242" t="s">
        <v>207</v>
      </c>
      <c r="C1150" s="242" t="s">
        <v>408</v>
      </c>
      <c r="D1150" s="242" t="s">
        <v>746</v>
      </c>
      <c r="E1150" s="242" t="s">
        <v>329</v>
      </c>
      <c r="F1150" s="243">
        <v>38380326.82</v>
      </c>
      <c r="G1150" s="243">
        <v>37827973.770000003</v>
      </c>
      <c r="H1150" s="243">
        <f t="shared" si="36"/>
        <v>98.560843286743022</v>
      </c>
      <c r="I1150" s="123" t="str">
        <f t="shared" si="37"/>
        <v>0701011004П010244</v>
      </c>
    </row>
    <row r="1151" spans="1:9" ht="76.5">
      <c r="A1151" s="241" t="s">
        <v>2086</v>
      </c>
      <c r="B1151" s="242" t="s">
        <v>207</v>
      </c>
      <c r="C1151" s="242" t="s">
        <v>408</v>
      </c>
      <c r="D1151" s="242" t="s">
        <v>2087</v>
      </c>
      <c r="E1151" s="242"/>
      <c r="F1151" s="243">
        <v>5989985.7300000004</v>
      </c>
      <c r="G1151" s="243">
        <v>5989985.7300000004</v>
      </c>
      <c r="H1151" s="243">
        <f t="shared" si="36"/>
        <v>100</v>
      </c>
      <c r="I1151" s="123" t="str">
        <f t="shared" si="37"/>
        <v>0701011004Ф000</v>
      </c>
    </row>
    <row r="1152" spans="1:9" ht="25.5">
      <c r="A1152" s="241" t="s">
        <v>1319</v>
      </c>
      <c r="B1152" s="242" t="s">
        <v>207</v>
      </c>
      <c r="C1152" s="242" t="s">
        <v>408</v>
      </c>
      <c r="D1152" s="242" t="s">
        <v>2087</v>
      </c>
      <c r="E1152" s="242" t="s">
        <v>1320</v>
      </c>
      <c r="F1152" s="243">
        <v>5989985.7300000004</v>
      </c>
      <c r="G1152" s="243">
        <v>5989985.7300000004</v>
      </c>
      <c r="H1152" s="243">
        <f t="shared" si="36"/>
        <v>100</v>
      </c>
      <c r="I1152" s="123" t="str">
        <f t="shared" si="37"/>
        <v>0701011004Ф000200</v>
      </c>
    </row>
    <row r="1153" spans="1:9" ht="25.5">
      <c r="A1153" s="241" t="s">
        <v>1196</v>
      </c>
      <c r="B1153" s="242" t="s">
        <v>207</v>
      </c>
      <c r="C1153" s="242" t="s">
        <v>408</v>
      </c>
      <c r="D1153" s="242" t="s">
        <v>2087</v>
      </c>
      <c r="E1153" s="242" t="s">
        <v>1197</v>
      </c>
      <c r="F1153" s="243">
        <v>5989985.7300000004</v>
      </c>
      <c r="G1153" s="243">
        <v>5989985.7300000004</v>
      </c>
      <c r="H1153" s="243">
        <f t="shared" si="36"/>
        <v>100</v>
      </c>
      <c r="I1153" s="123" t="str">
        <f t="shared" si="37"/>
        <v>0701011004Ф000240</v>
      </c>
    </row>
    <row r="1154" spans="1:9">
      <c r="A1154" s="241" t="s">
        <v>1223</v>
      </c>
      <c r="B1154" s="242" t="s">
        <v>207</v>
      </c>
      <c r="C1154" s="242" t="s">
        <v>408</v>
      </c>
      <c r="D1154" s="242" t="s">
        <v>2087</v>
      </c>
      <c r="E1154" s="242" t="s">
        <v>329</v>
      </c>
      <c r="F1154" s="243">
        <v>5989985.7300000004</v>
      </c>
      <c r="G1154" s="243">
        <v>5989985.7300000004</v>
      </c>
      <c r="H1154" s="243">
        <f t="shared" si="36"/>
        <v>100</v>
      </c>
      <c r="I1154" s="123" t="str">
        <f t="shared" si="37"/>
        <v>0701011004Ф000244</v>
      </c>
    </row>
    <row r="1155" spans="1:9" ht="102">
      <c r="A1155" s="241" t="s">
        <v>962</v>
      </c>
      <c r="B1155" s="242" t="s">
        <v>207</v>
      </c>
      <c r="C1155" s="242" t="s">
        <v>408</v>
      </c>
      <c r="D1155" s="242" t="s">
        <v>963</v>
      </c>
      <c r="E1155" s="242"/>
      <c r="F1155" s="243">
        <v>11530899.32</v>
      </c>
      <c r="G1155" s="243">
        <v>10481475.15</v>
      </c>
      <c r="H1155" s="243">
        <f t="shared" si="36"/>
        <v>90.899025818569029</v>
      </c>
      <c r="I1155" s="123" t="str">
        <f t="shared" si="37"/>
        <v>0701011004Э010</v>
      </c>
    </row>
    <row r="1156" spans="1:9" ht="25.5">
      <c r="A1156" s="241" t="s">
        <v>1319</v>
      </c>
      <c r="B1156" s="242" t="s">
        <v>207</v>
      </c>
      <c r="C1156" s="242" t="s">
        <v>408</v>
      </c>
      <c r="D1156" s="242" t="s">
        <v>963</v>
      </c>
      <c r="E1156" s="242" t="s">
        <v>1320</v>
      </c>
      <c r="F1156" s="243">
        <v>11530899.32</v>
      </c>
      <c r="G1156" s="243">
        <v>10481475.15</v>
      </c>
      <c r="H1156" s="243">
        <f t="shared" si="36"/>
        <v>90.899025818569029</v>
      </c>
      <c r="I1156" s="123" t="str">
        <f t="shared" si="37"/>
        <v>0701011004Э010200</v>
      </c>
    </row>
    <row r="1157" spans="1:9" ht="25.5">
      <c r="A1157" s="241" t="s">
        <v>1196</v>
      </c>
      <c r="B1157" s="242" t="s">
        <v>207</v>
      </c>
      <c r="C1157" s="242" t="s">
        <v>408</v>
      </c>
      <c r="D1157" s="242" t="s">
        <v>963</v>
      </c>
      <c r="E1157" s="242" t="s">
        <v>1197</v>
      </c>
      <c r="F1157" s="243">
        <v>11530899.32</v>
      </c>
      <c r="G1157" s="243">
        <v>10481475.15</v>
      </c>
      <c r="H1157" s="243">
        <f t="shared" ref="H1157:H1220" si="38">G1157/F1157*100</f>
        <v>90.899025818569029</v>
      </c>
      <c r="I1157" s="123" t="str">
        <f t="shared" si="37"/>
        <v>0701011004Э010240</v>
      </c>
    </row>
    <row r="1158" spans="1:9">
      <c r="A1158" s="241" t="s">
        <v>1699</v>
      </c>
      <c r="B1158" s="242" t="s">
        <v>207</v>
      </c>
      <c r="C1158" s="242" t="s">
        <v>408</v>
      </c>
      <c r="D1158" s="242" t="s">
        <v>963</v>
      </c>
      <c r="E1158" s="242" t="s">
        <v>1700</v>
      </c>
      <c r="F1158" s="243">
        <v>11530899.32</v>
      </c>
      <c r="G1158" s="243">
        <v>10481475.15</v>
      </c>
      <c r="H1158" s="243">
        <f t="shared" si="38"/>
        <v>90.899025818569029</v>
      </c>
      <c r="I1158" s="123" t="str">
        <f t="shared" si="37"/>
        <v>0701011004Э010247</v>
      </c>
    </row>
    <row r="1159" spans="1:9" ht="242.25">
      <c r="A1159" s="241" t="s">
        <v>1354</v>
      </c>
      <c r="B1159" s="242" t="s">
        <v>207</v>
      </c>
      <c r="C1159" s="242" t="s">
        <v>408</v>
      </c>
      <c r="D1159" s="242" t="s">
        <v>741</v>
      </c>
      <c r="E1159" s="242"/>
      <c r="F1159" s="243">
        <v>111486870</v>
      </c>
      <c r="G1159" s="243">
        <v>110811366.04000001</v>
      </c>
      <c r="H1159" s="243">
        <f t="shared" si="38"/>
        <v>99.394095502008454</v>
      </c>
      <c r="I1159" s="123" t="str">
        <f t="shared" si="37"/>
        <v>07010110074080</v>
      </c>
    </row>
    <row r="1160" spans="1:9" ht="63.75">
      <c r="A1160" s="241" t="s">
        <v>1318</v>
      </c>
      <c r="B1160" s="242" t="s">
        <v>207</v>
      </c>
      <c r="C1160" s="242" t="s">
        <v>408</v>
      </c>
      <c r="D1160" s="242" t="s">
        <v>741</v>
      </c>
      <c r="E1160" s="242" t="s">
        <v>273</v>
      </c>
      <c r="F1160" s="243">
        <v>104911401.73</v>
      </c>
      <c r="G1160" s="243">
        <v>104269871.77</v>
      </c>
      <c r="H1160" s="243">
        <f t="shared" si="38"/>
        <v>99.388503108888912</v>
      </c>
      <c r="I1160" s="123" t="str">
        <f t="shared" si="37"/>
        <v>07010110074080100</v>
      </c>
    </row>
    <row r="1161" spans="1:9">
      <c r="A1161" s="241" t="s">
        <v>1190</v>
      </c>
      <c r="B1161" s="242" t="s">
        <v>207</v>
      </c>
      <c r="C1161" s="242" t="s">
        <v>408</v>
      </c>
      <c r="D1161" s="242" t="s">
        <v>741</v>
      </c>
      <c r="E1161" s="242" t="s">
        <v>133</v>
      </c>
      <c r="F1161" s="243">
        <v>104911401.73</v>
      </c>
      <c r="G1161" s="243">
        <v>104269871.77</v>
      </c>
      <c r="H1161" s="243">
        <f t="shared" si="38"/>
        <v>99.388503108888912</v>
      </c>
      <c r="I1161" s="123" t="str">
        <f t="shared" si="37"/>
        <v>07010110074080110</v>
      </c>
    </row>
    <row r="1162" spans="1:9">
      <c r="A1162" s="241" t="s">
        <v>1138</v>
      </c>
      <c r="B1162" s="242" t="s">
        <v>207</v>
      </c>
      <c r="C1162" s="242" t="s">
        <v>408</v>
      </c>
      <c r="D1162" s="242" t="s">
        <v>741</v>
      </c>
      <c r="E1162" s="242" t="s">
        <v>342</v>
      </c>
      <c r="F1162" s="243">
        <v>79859770.299999997</v>
      </c>
      <c r="G1162" s="243">
        <v>79396081.519999996</v>
      </c>
      <c r="H1162" s="243">
        <f t="shared" si="38"/>
        <v>99.419371257570461</v>
      </c>
      <c r="I1162" s="123" t="str">
        <f t="shared" si="37"/>
        <v>07010110074080111</v>
      </c>
    </row>
    <row r="1163" spans="1:9" ht="25.5">
      <c r="A1163" s="241" t="s">
        <v>1147</v>
      </c>
      <c r="B1163" s="242" t="s">
        <v>207</v>
      </c>
      <c r="C1163" s="242" t="s">
        <v>408</v>
      </c>
      <c r="D1163" s="242" t="s">
        <v>741</v>
      </c>
      <c r="E1163" s="242" t="s">
        <v>391</v>
      </c>
      <c r="F1163" s="243">
        <v>984291.16</v>
      </c>
      <c r="G1163" s="243">
        <v>969007.29</v>
      </c>
      <c r="H1163" s="243">
        <f t="shared" si="38"/>
        <v>98.447220637438221</v>
      </c>
      <c r="I1163" s="123" t="str">
        <f t="shared" si="37"/>
        <v>07010110074080112</v>
      </c>
    </row>
    <row r="1164" spans="1:9" ht="38.25">
      <c r="A1164" s="241" t="s">
        <v>1139</v>
      </c>
      <c r="B1164" s="242" t="s">
        <v>207</v>
      </c>
      <c r="C1164" s="242" t="s">
        <v>408</v>
      </c>
      <c r="D1164" s="242" t="s">
        <v>741</v>
      </c>
      <c r="E1164" s="242" t="s">
        <v>1056</v>
      </c>
      <c r="F1164" s="243">
        <v>24067340.27</v>
      </c>
      <c r="G1164" s="243">
        <v>23904782.960000001</v>
      </c>
      <c r="H1164" s="243">
        <f t="shared" si="38"/>
        <v>99.324573018138494</v>
      </c>
      <c r="I1164" s="123" t="str">
        <f t="shared" si="37"/>
        <v>07010110074080119</v>
      </c>
    </row>
    <row r="1165" spans="1:9" ht="25.5">
      <c r="A1165" s="241" t="s">
        <v>1319</v>
      </c>
      <c r="B1165" s="242" t="s">
        <v>207</v>
      </c>
      <c r="C1165" s="242" t="s">
        <v>408</v>
      </c>
      <c r="D1165" s="242" t="s">
        <v>741</v>
      </c>
      <c r="E1165" s="242" t="s">
        <v>1320</v>
      </c>
      <c r="F1165" s="243">
        <v>6575468.2699999996</v>
      </c>
      <c r="G1165" s="243">
        <v>6541494.2699999996</v>
      </c>
      <c r="H1165" s="243">
        <f t="shared" si="38"/>
        <v>99.483321968794172</v>
      </c>
      <c r="I1165" s="123" t="str">
        <f t="shared" si="37"/>
        <v>07010110074080200</v>
      </c>
    </row>
    <row r="1166" spans="1:9" ht="25.5">
      <c r="A1166" s="241" t="s">
        <v>1196</v>
      </c>
      <c r="B1166" s="242" t="s">
        <v>207</v>
      </c>
      <c r="C1166" s="242" t="s">
        <v>408</v>
      </c>
      <c r="D1166" s="242" t="s">
        <v>741</v>
      </c>
      <c r="E1166" s="242" t="s">
        <v>1197</v>
      </c>
      <c r="F1166" s="243">
        <v>6575468.2699999996</v>
      </c>
      <c r="G1166" s="243">
        <v>6541494.2699999996</v>
      </c>
      <c r="H1166" s="243">
        <f t="shared" si="38"/>
        <v>99.483321968794172</v>
      </c>
      <c r="I1166" s="123" t="str">
        <f t="shared" si="37"/>
        <v>07010110074080240</v>
      </c>
    </row>
    <row r="1167" spans="1:9">
      <c r="A1167" s="241" t="s">
        <v>1223</v>
      </c>
      <c r="B1167" s="242" t="s">
        <v>207</v>
      </c>
      <c r="C1167" s="242" t="s">
        <v>408</v>
      </c>
      <c r="D1167" s="242" t="s">
        <v>741</v>
      </c>
      <c r="E1167" s="242" t="s">
        <v>329</v>
      </c>
      <c r="F1167" s="243">
        <v>6575468.2699999996</v>
      </c>
      <c r="G1167" s="243">
        <v>6541494.2699999996</v>
      </c>
      <c r="H1167" s="243">
        <f t="shared" si="38"/>
        <v>99.483321968794172</v>
      </c>
      <c r="I1167" s="123" t="str">
        <f t="shared" si="37"/>
        <v>07010110074080244</v>
      </c>
    </row>
    <row r="1168" spans="1:9" ht="242.25">
      <c r="A1168" s="241" t="s">
        <v>1355</v>
      </c>
      <c r="B1168" s="242" t="s">
        <v>207</v>
      </c>
      <c r="C1168" s="242" t="s">
        <v>408</v>
      </c>
      <c r="D1168" s="242" t="s">
        <v>739</v>
      </c>
      <c r="E1168" s="242"/>
      <c r="F1168" s="243">
        <v>167854546.74000001</v>
      </c>
      <c r="G1168" s="243">
        <v>166849339.09</v>
      </c>
      <c r="H1168" s="243">
        <f t="shared" si="38"/>
        <v>99.401143627311427</v>
      </c>
      <c r="I1168" s="123" t="str">
        <f t="shared" si="37"/>
        <v>07010110075880</v>
      </c>
    </row>
    <row r="1169" spans="1:9" ht="63.75">
      <c r="A1169" s="241" t="s">
        <v>1318</v>
      </c>
      <c r="B1169" s="242" t="s">
        <v>207</v>
      </c>
      <c r="C1169" s="242" t="s">
        <v>408</v>
      </c>
      <c r="D1169" s="242" t="s">
        <v>739</v>
      </c>
      <c r="E1169" s="242" t="s">
        <v>273</v>
      </c>
      <c r="F1169" s="243">
        <v>155491249.13</v>
      </c>
      <c r="G1169" s="243">
        <v>154545065.56999999</v>
      </c>
      <c r="H1169" s="243">
        <f t="shared" si="38"/>
        <v>99.391487581909558</v>
      </c>
      <c r="I1169" s="123" t="str">
        <f t="shared" si="37"/>
        <v>07010110075880100</v>
      </c>
    </row>
    <row r="1170" spans="1:9">
      <c r="A1170" s="241" t="s">
        <v>1190</v>
      </c>
      <c r="B1170" s="242" t="s">
        <v>207</v>
      </c>
      <c r="C1170" s="242" t="s">
        <v>408</v>
      </c>
      <c r="D1170" s="242" t="s">
        <v>739</v>
      </c>
      <c r="E1170" s="242" t="s">
        <v>133</v>
      </c>
      <c r="F1170" s="243">
        <v>155491249.13</v>
      </c>
      <c r="G1170" s="243">
        <v>154545065.56999999</v>
      </c>
      <c r="H1170" s="243">
        <f t="shared" si="38"/>
        <v>99.391487581909558</v>
      </c>
      <c r="I1170" s="123" t="str">
        <f t="shared" si="37"/>
        <v>07010110075880110</v>
      </c>
    </row>
    <row r="1171" spans="1:9">
      <c r="A1171" s="241" t="s">
        <v>1138</v>
      </c>
      <c r="B1171" s="242" t="s">
        <v>207</v>
      </c>
      <c r="C1171" s="242" t="s">
        <v>408</v>
      </c>
      <c r="D1171" s="242" t="s">
        <v>739</v>
      </c>
      <c r="E1171" s="242" t="s">
        <v>342</v>
      </c>
      <c r="F1171" s="243">
        <v>118556640.65000001</v>
      </c>
      <c r="G1171" s="243">
        <v>117912803.78</v>
      </c>
      <c r="H1171" s="243">
        <f t="shared" si="38"/>
        <v>99.456937320026867</v>
      </c>
      <c r="I1171" s="123" t="str">
        <f t="shared" si="37"/>
        <v>07010110075880111</v>
      </c>
    </row>
    <row r="1172" spans="1:9" ht="25.5">
      <c r="A1172" s="241" t="s">
        <v>1147</v>
      </c>
      <c r="B1172" s="242" t="s">
        <v>207</v>
      </c>
      <c r="C1172" s="242" t="s">
        <v>408</v>
      </c>
      <c r="D1172" s="242" t="s">
        <v>739</v>
      </c>
      <c r="E1172" s="242" t="s">
        <v>391</v>
      </c>
      <c r="F1172" s="243">
        <v>1232790.8500000001</v>
      </c>
      <c r="G1172" s="243">
        <v>1220790.8500000001</v>
      </c>
      <c r="H1172" s="243">
        <f t="shared" si="38"/>
        <v>99.026598875226895</v>
      </c>
      <c r="I1172" s="123" t="str">
        <f t="shared" si="37"/>
        <v>07010110075880112</v>
      </c>
    </row>
    <row r="1173" spans="1:9" ht="38.25">
      <c r="A1173" s="241" t="s">
        <v>1139</v>
      </c>
      <c r="B1173" s="242" t="s">
        <v>207</v>
      </c>
      <c r="C1173" s="242" t="s">
        <v>408</v>
      </c>
      <c r="D1173" s="242" t="s">
        <v>739</v>
      </c>
      <c r="E1173" s="242" t="s">
        <v>1056</v>
      </c>
      <c r="F1173" s="243">
        <v>35701817.630000003</v>
      </c>
      <c r="G1173" s="243">
        <v>35411470.939999998</v>
      </c>
      <c r="H1173" s="243">
        <f t="shared" si="38"/>
        <v>99.186745355631331</v>
      </c>
      <c r="I1173" s="123" t="str">
        <f t="shared" si="37"/>
        <v>07010110075880119</v>
      </c>
    </row>
    <row r="1174" spans="1:9" ht="25.5">
      <c r="A1174" s="241" t="s">
        <v>1319</v>
      </c>
      <c r="B1174" s="242" t="s">
        <v>207</v>
      </c>
      <c r="C1174" s="242" t="s">
        <v>408</v>
      </c>
      <c r="D1174" s="242" t="s">
        <v>739</v>
      </c>
      <c r="E1174" s="242" t="s">
        <v>1320</v>
      </c>
      <c r="F1174" s="243">
        <v>12363297.609999999</v>
      </c>
      <c r="G1174" s="243">
        <v>12304273.52</v>
      </c>
      <c r="H1174" s="243">
        <f t="shared" si="38"/>
        <v>99.522586191306601</v>
      </c>
      <c r="I1174" s="123" t="str">
        <f t="shared" si="37"/>
        <v>07010110075880200</v>
      </c>
    </row>
    <row r="1175" spans="1:9" ht="25.5">
      <c r="A1175" s="241" t="s">
        <v>1196</v>
      </c>
      <c r="B1175" s="242" t="s">
        <v>207</v>
      </c>
      <c r="C1175" s="242" t="s">
        <v>408</v>
      </c>
      <c r="D1175" s="242" t="s">
        <v>739</v>
      </c>
      <c r="E1175" s="242" t="s">
        <v>1197</v>
      </c>
      <c r="F1175" s="243">
        <v>12363297.609999999</v>
      </c>
      <c r="G1175" s="243">
        <v>12304273.52</v>
      </c>
      <c r="H1175" s="243">
        <f t="shared" si="38"/>
        <v>99.522586191306601</v>
      </c>
      <c r="I1175" s="123" t="str">
        <f t="shared" si="37"/>
        <v>07010110075880240</v>
      </c>
    </row>
    <row r="1176" spans="1:9">
      <c r="A1176" s="241" t="s">
        <v>1223</v>
      </c>
      <c r="B1176" s="242" t="s">
        <v>207</v>
      </c>
      <c r="C1176" s="242" t="s">
        <v>408</v>
      </c>
      <c r="D1176" s="242" t="s">
        <v>739</v>
      </c>
      <c r="E1176" s="242" t="s">
        <v>329</v>
      </c>
      <c r="F1176" s="243">
        <v>12363297.609999999</v>
      </c>
      <c r="G1176" s="243">
        <v>12304273.52</v>
      </c>
      <c r="H1176" s="243">
        <f t="shared" si="38"/>
        <v>99.522586191306601</v>
      </c>
      <c r="I1176" s="123" t="str">
        <f t="shared" si="37"/>
        <v>07010110075880244</v>
      </c>
    </row>
    <row r="1177" spans="1:9" ht="89.25">
      <c r="A1177" s="241" t="s">
        <v>2169</v>
      </c>
      <c r="B1177" s="242" t="s">
        <v>207</v>
      </c>
      <c r="C1177" s="242" t="s">
        <v>408</v>
      </c>
      <c r="D1177" s="242" t="s">
        <v>696</v>
      </c>
      <c r="E1177" s="242"/>
      <c r="F1177" s="243">
        <v>5000000</v>
      </c>
      <c r="G1177" s="243">
        <v>599999.51</v>
      </c>
      <c r="H1177" s="243">
        <f t="shared" si="38"/>
        <v>11.999990200000001</v>
      </c>
      <c r="I1177" s="123" t="str">
        <f t="shared" si="37"/>
        <v>07010110083010</v>
      </c>
    </row>
    <row r="1178" spans="1:9" ht="25.5">
      <c r="A1178" s="241" t="s">
        <v>1319</v>
      </c>
      <c r="B1178" s="242" t="s">
        <v>207</v>
      </c>
      <c r="C1178" s="242" t="s">
        <v>408</v>
      </c>
      <c r="D1178" s="242" t="s">
        <v>696</v>
      </c>
      <c r="E1178" s="242" t="s">
        <v>1320</v>
      </c>
      <c r="F1178" s="243">
        <v>5000000</v>
      </c>
      <c r="G1178" s="243">
        <v>599999.51</v>
      </c>
      <c r="H1178" s="243">
        <f t="shared" si="38"/>
        <v>11.999990200000001</v>
      </c>
      <c r="I1178" s="123" t="str">
        <f t="shared" si="37"/>
        <v>07010110083010200</v>
      </c>
    </row>
    <row r="1179" spans="1:9" ht="25.5">
      <c r="A1179" s="241" t="s">
        <v>1196</v>
      </c>
      <c r="B1179" s="242" t="s">
        <v>207</v>
      </c>
      <c r="C1179" s="242" t="s">
        <v>408</v>
      </c>
      <c r="D1179" s="242" t="s">
        <v>696</v>
      </c>
      <c r="E1179" s="242" t="s">
        <v>1197</v>
      </c>
      <c r="F1179" s="243">
        <v>5000000</v>
      </c>
      <c r="G1179" s="243">
        <v>599999.51</v>
      </c>
      <c r="H1179" s="243">
        <f t="shared" si="38"/>
        <v>11.999990200000001</v>
      </c>
      <c r="I1179" s="123" t="str">
        <f t="shared" si="37"/>
        <v>07010110083010240</v>
      </c>
    </row>
    <row r="1180" spans="1:9">
      <c r="A1180" s="241" t="s">
        <v>1223</v>
      </c>
      <c r="B1180" s="242" t="s">
        <v>207</v>
      </c>
      <c r="C1180" s="242" t="s">
        <v>408</v>
      </c>
      <c r="D1180" s="242" t="s">
        <v>696</v>
      </c>
      <c r="E1180" s="242" t="s">
        <v>329</v>
      </c>
      <c r="F1180" s="243">
        <v>5000000</v>
      </c>
      <c r="G1180" s="243">
        <v>599999.51</v>
      </c>
      <c r="H1180" s="243">
        <f t="shared" si="38"/>
        <v>11.999990200000001</v>
      </c>
      <c r="I1180" s="123" t="str">
        <f t="shared" si="37"/>
        <v>07010110083010244</v>
      </c>
    </row>
    <row r="1181" spans="1:9" ht="89.25">
      <c r="A1181" s="241" t="s">
        <v>1783</v>
      </c>
      <c r="B1181" s="242" t="s">
        <v>207</v>
      </c>
      <c r="C1181" s="242" t="s">
        <v>408</v>
      </c>
      <c r="D1181" s="242" t="s">
        <v>1665</v>
      </c>
      <c r="E1181" s="242"/>
      <c r="F1181" s="243">
        <v>1337072.3999999999</v>
      </c>
      <c r="G1181" s="243">
        <v>853731.75</v>
      </c>
      <c r="H1181" s="243">
        <f t="shared" si="38"/>
        <v>63.85082438318225</v>
      </c>
      <c r="I1181" s="123" t="str">
        <f t="shared" si="37"/>
        <v>070101100S8400</v>
      </c>
    </row>
    <row r="1182" spans="1:9" ht="25.5">
      <c r="A1182" s="241" t="s">
        <v>1319</v>
      </c>
      <c r="B1182" s="242" t="s">
        <v>207</v>
      </c>
      <c r="C1182" s="242" t="s">
        <v>408</v>
      </c>
      <c r="D1182" s="242" t="s">
        <v>1665</v>
      </c>
      <c r="E1182" s="242" t="s">
        <v>1320</v>
      </c>
      <c r="F1182" s="243">
        <v>1337072.3999999999</v>
      </c>
      <c r="G1182" s="243">
        <v>853731.75</v>
      </c>
      <c r="H1182" s="243">
        <f t="shared" si="38"/>
        <v>63.85082438318225</v>
      </c>
      <c r="I1182" s="123" t="str">
        <f t="shared" si="37"/>
        <v>070101100S8400200</v>
      </c>
    </row>
    <row r="1183" spans="1:9" ht="25.5">
      <c r="A1183" s="241" t="s">
        <v>1196</v>
      </c>
      <c r="B1183" s="242" t="s">
        <v>207</v>
      </c>
      <c r="C1183" s="242" t="s">
        <v>408</v>
      </c>
      <c r="D1183" s="242" t="s">
        <v>1665</v>
      </c>
      <c r="E1183" s="242" t="s">
        <v>1197</v>
      </c>
      <c r="F1183" s="243">
        <v>1337072.3999999999</v>
      </c>
      <c r="G1183" s="243">
        <v>853731.75</v>
      </c>
      <c r="H1183" s="243">
        <f t="shared" si="38"/>
        <v>63.85082438318225</v>
      </c>
      <c r="I1183" s="123" t="str">
        <f t="shared" si="37"/>
        <v>070101100S8400240</v>
      </c>
    </row>
    <row r="1184" spans="1:9">
      <c r="A1184" s="241" t="s">
        <v>1223</v>
      </c>
      <c r="B1184" s="242" t="s">
        <v>207</v>
      </c>
      <c r="C1184" s="242" t="s">
        <v>408</v>
      </c>
      <c r="D1184" s="242" t="s">
        <v>1665</v>
      </c>
      <c r="E1184" s="242" t="s">
        <v>329</v>
      </c>
      <c r="F1184" s="243">
        <v>1337072.3999999999</v>
      </c>
      <c r="G1184" s="243">
        <v>853731.75</v>
      </c>
      <c r="H1184" s="243">
        <f t="shared" si="38"/>
        <v>63.85082438318225</v>
      </c>
      <c r="I1184" s="123" t="str">
        <f t="shared" si="37"/>
        <v>070101100S8400244</v>
      </c>
    </row>
    <row r="1185" spans="1:9">
      <c r="A1185" s="241" t="s">
        <v>153</v>
      </c>
      <c r="B1185" s="242" t="s">
        <v>207</v>
      </c>
      <c r="C1185" s="242" t="s">
        <v>395</v>
      </c>
      <c r="D1185" s="242"/>
      <c r="E1185" s="242"/>
      <c r="F1185" s="243">
        <v>954265782.86000001</v>
      </c>
      <c r="G1185" s="243">
        <v>939570428.66999996</v>
      </c>
      <c r="H1185" s="243">
        <f t="shared" si="38"/>
        <v>98.460035510656468</v>
      </c>
      <c r="I1185" s="123" t="str">
        <f t="shared" si="37"/>
        <v>0702</v>
      </c>
    </row>
    <row r="1186" spans="1:9" ht="25.5">
      <c r="A1186" s="241" t="s">
        <v>442</v>
      </c>
      <c r="B1186" s="242" t="s">
        <v>207</v>
      </c>
      <c r="C1186" s="242" t="s">
        <v>395</v>
      </c>
      <c r="D1186" s="242" t="s">
        <v>971</v>
      </c>
      <c r="E1186" s="242"/>
      <c r="F1186" s="243">
        <v>951871448.86000001</v>
      </c>
      <c r="G1186" s="243">
        <v>937176094.66999996</v>
      </c>
      <c r="H1186" s="243">
        <f t="shared" si="38"/>
        <v>98.456161889549293</v>
      </c>
      <c r="I1186" s="123" t="str">
        <f t="shared" si="37"/>
        <v>07020100000000</v>
      </c>
    </row>
    <row r="1187" spans="1:9" ht="25.5">
      <c r="A1187" s="241" t="s">
        <v>443</v>
      </c>
      <c r="B1187" s="242" t="s">
        <v>207</v>
      </c>
      <c r="C1187" s="242" t="s">
        <v>395</v>
      </c>
      <c r="D1187" s="242" t="s">
        <v>972</v>
      </c>
      <c r="E1187" s="242"/>
      <c r="F1187" s="243">
        <v>951871448.86000001</v>
      </c>
      <c r="G1187" s="243">
        <v>937176094.66999996</v>
      </c>
      <c r="H1187" s="243">
        <f t="shared" si="38"/>
        <v>98.456161889549293</v>
      </c>
      <c r="I1187" s="123" t="str">
        <f t="shared" si="37"/>
        <v>07020110000000</v>
      </c>
    </row>
    <row r="1188" spans="1:9" ht="102">
      <c r="A1188" s="241" t="s">
        <v>2254</v>
      </c>
      <c r="B1188" s="242" t="s">
        <v>207</v>
      </c>
      <c r="C1188" s="242" t="s">
        <v>395</v>
      </c>
      <c r="D1188" s="242" t="s">
        <v>2255</v>
      </c>
      <c r="E1188" s="242"/>
      <c r="F1188" s="243">
        <v>449500</v>
      </c>
      <c r="G1188" s="243">
        <v>83045.600000000006</v>
      </c>
      <c r="H1188" s="243">
        <f t="shared" si="38"/>
        <v>18.475105672969967</v>
      </c>
      <c r="I1188" s="123" t="str">
        <f t="shared" si="37"/>
        <v>07020110008530</v>
      </c>
    </row>
    <row r="1189" spans="1:9" ht="25.5">
      <c r="A1189" s="241" t="s">
        <v>1319</v>
      </c>
      <c r="B1189" s="242" t="s">
        <v>207</v>
      </c>
      <c r="C1189" s="242" t="s">
        <v>395</v>
      </c>
      <c r="D1189" s="242" t="s">
        <v>2255</v>
      </c>
      <c r="E1189" s="242" t="s">
        <v>1320</v>
      </c>
      <c r="F1189" s="243">
        <v>449500</v>
      </c>
      <c r="G1189" s="243">
        <v>83045.600000000006</v>
      </c>
      <c r="H1189" s="243">
        <f t="shared" si="38"/>
        <v>18.475105672969967</v>
      </c>
      <c r="I1189" s="123" t="str">
        <f t="shared" si="37"/>
        <v>07020110008530200</v>
      </c>
    </row>
    <row r="1190" spans="1:9" ht="25.5">
      <c r="A1190" s="241" t="s">
        <v>1196</v>
      </c>
      <c r="B1190" s="242" t="s">
        <v>207</v>
      </c>
      <c r="C1190" s="242" t="s">
        <v>395</v>
      </c>
      <c r="D1190" s="242" t="s">
        <v>2255</v>
      </c>
      <c r="E1190" s="242" t="s">
        <v>1197</v>
      </c>
      <c r="F1190" s="243">
        <v>449500</v>
      </c>
      <c r="G1190" s="243">
        <v>83045.600000000006</v>
      </c>
      <c r="H1190" s="243">
        <f t="shared" si="38"/>
        <v>18.475105672969967</v>
      </c>
      <c r="I1190" s="123" t="str">
        <f t="shared" ref="I1190:I1253" si="39">CONCATENATE(C1190,D1190,E1190)</f>
        <v>07020110008530240</v>
      </c>
    </row>
    <row r="1191" spans="1:9">
      <c r="A1191" s="241" t="s">
        <v>1223</v>
      </c>
      <c r="B1191" s="242" t="s">
        <v>207</v>
      </c>
      <c r="C1191" s="242" t="s">
        <v>395</v>
      </c>
      <c r="D1191" s="242" t="s">
        <v>2255</v>
      </c>
      <c r="E1191" s="242" t="s">
        <v>329</v>
      </c>
      <c r="F1191" s="243">
        <v>449500</v>
      </c>
      <c r="G1191" s="243">
        <v>83045.600000000006</v>
      </c>
      <c r="H1191" s="243">
        <f t="shared" si="38"/>
        <v>18.475105672969967</v>
      </c>
      <c r="I1191" s="123" t="str">
        <f t="shared" si="39"/>
        <v>07020110008530244</v>
      </c>
    </row>
    <row r="1192" spans="1:9" ht="89.25">
      <c r="A1192" s="241" t="s">
        <v>2228</v>
      </c>
      <c r="B1192" s="242" t="s">
        <v>207</v>
      </c>
      <c r="C1192" s="242" t="s">
        <v>395</v>
      </c>
      <c r="D1192" s="242" t="s">
        <v>2229</v>
      </c>
      <c r="E1192" s="242"/>
      <c r="F1192" s="243">
        <v>18363191</v>
      </c>
      <c r="G1192" s="243">
        <v>18350802.059999999</v>
      </c>
      <c r="H1192" s="243">
        <f t="shared" si="38"/>
        <v>99.932533839026121</v>
      </c>
      <c r="I1192" s="123" t="str">
        <f t="shared" si="39"/>
        <v>07020110010340</v>
      </c>
    </row>
    <row r="1193" spans="1:9" ht="63.75">
      <c r="A1193" s="241" t="s">
        <v>1318</v>
      </c>
      <c r="B1193" s="242" t="s">
        <v>207</v>
      </c>
      <c r="C1193" s="242" t="s">
        <v>395</v>
      </c>
      <c r="D1193" s="242" t="s">
        <v>2229</v>
      </c>
      <c r="E1193" s="242" t="s">
        <v>273</v>
      </c>
      <c r="F1193" s="243">
        <v>18363191</v>
      </c>
      <c r="G1193" s="243">
        <v>18350802.059999999</v>
      </c>
      <c r="H1193" s="243">
        <f t="shared" si="38"/>
        <v>99.932533839026121</v>
      </c>
      <c r="I1193" s="123" t="str">
        <f t="shared" si="39"/>
        <v>07020110010340100</v>
      </c>
    </row>
    <row r="1194" spans="1:9">
      <c r="A1194" s="241" t="s">
        <v>1190</v>
      </c>
      <c r="B1194" s="242" t="s">
        <v>207</v>
      </c>
      <c r="C1194" s="242" t="s">
        <v>395</v>
      </c>
      <c r="D1194" s="242" t="s">
        <v>2229</v>
      </c>
      <c r="E1194" s="242" t="s">
        <v>133</v>
      </c>
      <c r="F1194" s="243">
        <v>18363191</v>
      </c>
      <c r="G1194" s="243">
        <v>18350802.059999999</v>
      </c>
      <c r="H1194" s="243">
        <f t="shared" si="38"/>
        <v>99.932533839026121</v>
      </c>
      <c r="I1194" s="123" t="str">
        <f t="shared" si="39"/>
        <v>07020110010340110</v>
      </c>
    </row>
    <row r="1195" spans="1:9">
      <c r="A1195" s="241" t="s">
        <v>1138</v>
      </c>
      <c r="B1195" s="242" t="s">
        <v>207</v>
      </c>
      <c r="C1195" s="242" t="s">
        <v>395</v>
      </c>
      <c r="D1195" s="242" t="s">
        <v>2229</v>
      </c>
      <c r="E1195" s="242" t="s">
        <v>342</v>
      </c>
      <c r="F1195" s="243">
        <v>14101272</v>
      </c>
      <c r="G1195" s="243">
        <v>14091810.369999999</v>
      </c>
      <c r="H1195" s="243">
        <f t="shared" si="38"/>
        <v>99.932902294204368</v>
      </c>
      <c r="I1195" s="123" t="str">
        <f t="shared" si="39"/>
        <v>07020110010340111</v>
      </c>
    </row>
    <row r="1196" spans="1:9" ht="38.25">
      <c r="A1196" s="241" t="s">
        <v>1139</v>
      </c>
      <c r="B1196" s="242" t="s">
        <v>207</v>
      </c>
      <c r="C1196" s="242" t="s">
        <v>395</v>
      </c>
      <c r="D1196" s="242" t="s">
        <v>2229</v>
      </c>
      <c r="E1196" s="242" t="s">
        <v>1056</v>
      </c>
      <c r="F1196" s="243">
        <v>4261919</v>
      </c>
      <c r="G1196" s="243">
        <v>4258991.6900000004</v>
      </c>
      <c r="H1196" s="243">
        <f t="shared" si="38"/>
        <v>99.93131474342897</v>
      </c>
      <c r="I1196" s="123" t="str">
        <f t="shared" si="39"/>
        <v>07020110010340119</v>
      </c>
    </row>
    <row r="1197" spans="1:9" ht="127.5">
      <c r="A1197" s="241" t="s">
        <v>2088</v>
      </c>
      <c r="B1197" s="242" t="s">
        <v>207</v>
      </c>
      <c r="C1197" s="242" t="s">
        <v>395</v>
      </c>
      <c r="D1197" s="242" t="s">
        <v>2089</v>
      </c>
      <c r="E1197" s="242"/>
      <c r="F1197" s="243">
        <v>27870680</v>
      </c>
      <c r="G1197" s="243">
        <v>27863052.609999999</v>
      </c>
      <c r="H1197" s="243">
        <f t="shared" si="38"/>
        <v>99.972632924636201</v>
      </c>
      <c r="I1197" s="123" t="str">
        <f t="shared" si="39"/>
        <v>07020110027241</v>
      </c>
    </row>
    <row r="1198" spans="1:9" ht="63.75">
      <c r="A1198" s="241" t="s">
        <v>1318</v>
      </c>
      <c r="B1198" s="242" t="s">
        <v>207</v>
      </c>
      <c r="C1198" s="242" t="s">
        <v>395</v>
      </c>
      <c r="D1198" s="242" t="s">
        <v>2089</v>
      </c>
      <c r="E1198" s="242" t="s">
        <v>273</v>
      </c>
      <c r="F1198" s="243">
        <v>27870680</v>
      </c>
      <c r="G1198" s="243">
        <v>27863052.609999999</v>
      </c>
      <c r="H1198" s="243">
        <f t="shared" si="38"/>
        <v>99.972632924636201</v>
      </c>
      <c r="I1198" s="123" t="str">
        <f t="shared" si="39"/>
        <v>07020110027241100</v>
      </c>
    </row>
    <row r="1199" spans="1:9">
      <c r="A1199" s="241" t="s">
        <v>1190</v>
      </c>
      <c r="B1199" s="242" t="s">
        <v>207</v>
      </c>
      <c r="C1199" s="242" t="s">
        <v>395</v>
      </c>
      <c r="D1199" s="242" t="s">
        <v>2089</v>
      </c>
      <c r="E1199" s="242" t="s">
        <v>133</v>
      </c>
      <c r="F1199" s="243">
        <v>27870680</v>
      </c>
      <c r="G1199" s="243">
        <v>27863052.609999999</v>
      </c>
      <c r="H1199" s="243">
        <f t="shared" si="38"/>
        <v>99.972632924636201</v>
      </c>
      <c r="I1199" s="123" t="str">
        <f t="shared" si="39"/>
        <v>07020110027241110</v>
      </c>
    </row>
    <row r="1200" spans="1:9">
      <c r="A1200" s="241" t="s">
        <v>1138</v>
      </c>
      <c r="B1200" s="242" t="s">
        <v>207</v>
      </c>
      <c r="C1200" s="242" t="s">
        <v>395</v>
      </c>
      <c r="D1200" s="242" t="s">
        <v>2089</v>
      </c>
      <c r="E1200" s="242" t="s">
        <v>342</v>
      </c>
      <c r="F1200" s="243">
        <v>21405980</v>
      </c>
      <c r="G1200" s="243">
        <v>21401372.960000001</v>
      </c>
      <c r="H1200" s="243">
        <f t="shared" si="38"/>
        <v>99.978477789851254</v>
      </c>
      <c r="I1200" s="123" t="str">
        <f t="shared" si="39"/>
        <v>07020110027241111</v>
      </c>
    </row>
    <row r="1201" spans="1:9" ht="38.25">
      <c r="A1201" s="241" t="s">
        <v>1139</v>
      </c>
      <c r="B1201" s="242" t="s">
        <v>207</v>
      </c>
      <c r="C1201" s="242" t="s">
        <v>395</v>
      </c>
      <c r="D1201" s="242" t="s">
        <v>2089</v>
      </c>
      <c r="E1201" s="242" t="s">
        <v>1056</v>
      </c>
      <c r="F1201" s="243">
        <v>6464700</v>
      </c>
      <c r="G1201" s="243">
        <v>6461679.6500000004</v>
      </c>
      <c r="H1201" s="243">
        <f t="shared" si="38"/>
        <v>99.953279347842908</v>
      </c>
      <c r="I1201" s="123" t="str">
        <f t="shared" si="39"/>
        <v>07020110027241119</v>
      </c>
    </row>
    <row r="1202" spans="1:9" ht="89.25">
      <c r="A1202" s="241" t="s">
        <v>2090</v>
      </c>
      <c r="B1202" s="242" t="s">
        <v>207</v>
      </c>
      <c r="C1202" s="242" t="s">
        <v>395</v>
      </c>
      <c r="D1202" s="242" t="s">
        <v>2091</v>
      </c>
      <c r="E1202" s="242"/>
      <c r="F1202" s="243">
        <v>6564906.5</v>
      </c>
      <c r="G1202" s="243">
        <v>6434848.5599999996</v>
      </c>
      <c r="H1202" s="243">
        <f t="shared" si="38"/>
        <v>98.018891205838187</v>
      </c>
      <c r="I1202" s="123" t="str">
        <f t="shared" si="39"/>
        <v>07020110027242</v>
      </c>
    </row>
    <row r="1203" spans="1:9" ht="63.75">
      <c r="A1203" s="241" t="s">
        <v>1318</v>
      </c>
      <c r="B1203" s="242" t="s">
        <v>207</v>
      </c>
      <c r="C1203" s="242" t="s">
        <v>395</v>
      </c>
      <c r="D1203" s="242" t="s">
        <v>2091</v>
      </c>
      <c r="E1203" s="242" t="s">
        <v>273</v>
      </c>
      <c r="F1203" s="243">
        <v>6564906.5</v>
      </c>
      <c r="G1203" s="243">
        <v>6434848.5599999996</v>
      </c>
      <c r="H1203" s="243">
        <f t="shared" si="38"/>
        <v>98.018891205838187</v>
      </c>
      <c r="I1203" s="123" t="str">
        <f t="shared" si="39"/>
        <v>07020110027242100</v>
      </c>
    </row>
    <row r="1204" spans="1:9">
      <c r="A1204" s="241" t="s">
        <v>1190</v>
      </c>
      <c r="B1204" s="242" t="s">
        <v>207</v>
      </c>
      <c r="C1204" s="242" t="s">
        <v>395</v>
      </c>
      <c r="D1204" s="242" t="s">
        <v>2091</v>
      </c>
      <c r="E1204" s="242" t="s">
        <v>133</v>
      </c>
      <c r="F1204" s="243">
        <v>6564906.5</v>
      </c>
      <c r="G1204" s="243">
        <v>6434848.5599999996</v>
      </c>
      <c r="H1204" s="243">
        <f t="shared" si="38"/>
        <v>98.018891205838187</v>
      </c>
      <c r="I1204" s="123" t="str">
        <f t="shared" si="39"/>
        <v>07020110027242110</v>
      </c>
    </row>
    <row r="1205" spans="1:9">
      <c r="A1205" s="241" t="s">
        <v>1138</v>
      </c>
      <c r="B1205" s="242" t="s">
        <v>207</v>
      </c>
      <c r="C1205" s="242" t="s">
        <v>395</v>
      </c>
      <c r="D1205" s="242" t="s">
        <v>2091</v>
      </c>
      <c r="E1205" s="242" t="s">
        <v>342</v>
      </c>
      <c r="F1205" s="243">
        <v>5302785.55</v>
      </c>
      <c r="G1205" s="243">
        <v>5213282.71</v>
      </c>
      <c r="H1205" s="243">
        <f t="shared" si="38"/>
        <v>98.312154260132218</v>
      </c>
      <c r="I1205" s="123" t="str">
        <f t="shared" si="39"/>
        <v>07020110027242111</v>
      </c>
    </row>
    <row r="1206" spans="1:9" ht="38.25">
      <c r="A1206" s="241" t="s">
        <v>1139</v>
      </c>
      <c r="B1206" s="242" t="s">
        <v>207</v>
      </c>
      <c r="C1206" s="242" t="s">
        <v>395</v>
      </c>
      <c r="D1206" s="242" t="s">
        <v>2091</v>
      </c>
      <c r="E1206" s="242" t="s">
        <v>1056</v>
      </c>
      <c r="F1206" s="243">
        <v>1262120.95</v>
      </c>
      <c r="G1206" s="243">
        <v>1221565.8500000001</v>
      </c>
      <c r="H1206" s="243">
        <f t="shared" si="38"/>
        <v>96.786750112974531</v>
      </c>
      <c r="I1206" s="123" t="str">
        <f t="shared" si="39"/>
        <v>07020110027242119</v>
      </c>
    </row>
    <row r="1207" spans="1:9" ht="114.75">
      <c r="A1207" s="241" t="s">
        <v>413</v>
      </c>
      <c r="B1207" s="242" t="s">
        <v>207</v>
      </c>
      <c r="C1207" s="242" t="s">
        <v>395</v>
      </c>
      <c r="D1207" s="242" t="s">
        <v>750</v>
      </c>
      <c r="E1207" s="242"/>
      <c r="F1207" s="243">
        <v>81708874.109999999</v>
      </c>
      <c r="G1207" s="243">
        <v>80553130.950000003</v>
      </c>
      <c r="H1207" s="243">
        <f t="shared" si="38"/>
        <v>98.585535325766344</v>
      </c>
      <c r="I1207" s="123" t="str">
        <f t="shared" si="39"/>
        <v>07020110040020</v>
      </c>
    </row>
    <row r="1208" spans="1:9" ht="63.75">
      <c r="A1208" s="241" t="s">
        <v>1318</v>
      </c>
      <c r="B1208" s="242" t="s">
        <v>207</v>
      </c>
      <c r="C1208" s="242" t="s">
        <v>395</v>
      </c>
      <c r="D1208" s="242" t="s">
        <v>750</v>
      </c>
      <c r="E1208" s="242" t="s">
        <v>273</v>
      </c>
      <c r="F1208" s="243">
        <v>40674152.579999998</v>
      </c>
      <c r="G1208" s="243">
        <v>40382065.210000001</v>
      </c>
      <c r="H1208" s="243">
        <f t="shared" si="38"/>
        <v>99.281884559425038</v>
      </c>
      <c r="I1208" s="123" t="str">
        <f t="shared" si="39"/>
        <v>07020110040020100</v>
      </c>
    </row>
    <row r="1209" spans="1:9">
      <c r="A1209" s="241" t="s">
        <v>1190</v>
      </c>
      <c r="B1209" s="242" t="s">
        <v>207</v>
      </c>
      <c r="C1209" s="242" t="s">
        <v>395</v>
      </c>
      <c r="D1209" s="242" t="s">
        <v>750</v>
      </c>
      <c r="E1209" s="242" t="s">
        <v>133</v>
      </c>
      <c r="F1209" s="243">
        <v>40674152.579999998</v>
      </c>
      <c r="G1209" s="243">
        <v>40382065.210000001</v>
      </c>
      <c r="H1209" s="243">
        <f t="shared" si="38"/>
        <v>99.281884559425038</v>
      </c>
      <c r="I1209" s="123" t="str">
        <f t="shared" si="39"/>
        <v>07020110040020110</v>
      </c>
    </row>
    <row r="1210" spans="1:9">
      <c r="A1210" s="241" t="s">
        <v>1138</v>
      </c>
      <c r="B1210" s="242" t="s">
        <v>207</v>
      </c>
      <c r="C1210" s="242" t="s">
        <v>395</v>
      </c>
      <c r="D1210" s="242" t="s">
        <v>750</v>
      </c>
      <c r="E1210" s="242" t="s">
        <v>342</v>
      </c>
      <c r="F1210" s="243">
        <v>31065003.77</v>
      </c>
      <c r="G1210" s="243">
        <v>30855788.870000001</v>
      </c>
      <c r="H1210" s="243">
        <f t="shared" si="38"/>
        <v>99.326525431804257</v>
      </c>
      <c r="I1210" s="123" t="str">
        <f t="shared" si="39"/>
        <v>07020110040020111</v>
      </c>
    </row>
    <row r="1211" spans="1:9" ht="25.5">
      <c r="A1211" s="241" t="s">
        <v>1147</v>
      </c>
      <c r="B1211" s="242" t="s">
        <v>207</v>
      </c>
      <c r="C1211" s="242" t="s">
        <v>395</v>
      </c>
      <c r="D1211" s="242" t="s">
        <v>750</v>
      </c>
      <c r="E1211" s="242" t="s">
        <v>391</v>
      </c>
      <c r="F1211" s="243">
        <v>188431.5</v>
      </c>
      <c r="G1211" s="243">
        <v>188229</v>
      </c>
      <c r="H1211" s="243">
        <f t="shared" si="38"/>
        <v>99.8925338916264</v>
      </c>
      <c r="I1211" s="123" t="str">
        <f t="shared" si="39"/>
        <v>07020110040020112</v>
      </c>
    </row>
    <row r="1212" spans="1:9" ht="38.25">
      <c r="A1212" s="241" t="s">
        <v>1139</v>
      </c>
      <c r="B1212" s="242" t="s">
        <v>207</v>
      </c>
      <c r="C1212" s="242" t="s">
        <v>395</v>
      </c>
      <c r="D1212" s="242" t="s">
        <v>750</v>
      </c>
      <c r="E1212" s="242" t="s">
        <v>1056</v>
      </c>
      <c r="F1212" s="243">
        <v>9420717.3100000005</v>
      </c>
      <c r="G1212" s="243">
        <v>9338047.3399999999</v>
      </c>
      <c r="H1212" s="243">
        <f t="shared" si="38"/>
        <v>99.122466291263748</v>
      </c>
      <c r="I1212" s="123" t="str">
        <f t="shared" si="39"/>
        <v>07020110040020119</v>
      </c>
    </row>
    <row r="1213" spans="1:9" ht="25.5">
      <c r="A1213" s="241" t="s">
        <v>1319</v>
      </c>
      <c r="B1213" s="242" t="s">
        <v>207</v>
      </c>
      <c r="C1213" s="242" t="s">
        <v>395</v>
      </c>
      <c r="D1213" s="242" t="s">
        <v>750</v>
      </c>
      <c r="E1213" s="242" t="s">
        <v>1320</v>
      </c>
      <c r="F1213" s="243">
        <v>40573722.780000001</v>
      </c>
      <c r="G1213" s="243">
        <v>39715270.670000002</v>
      </c>
      <c r="H1213" s="243">
        <f t="shared" si="38"/>
        <v>97.884216554012752</v>
      </c>
      <c r="I1213" s="123" t="str">
        <f t="shared" si="39"/>
        <v>07020110040020200</v>
      </c>
    </row>
    <row r="1214" spans="1:9" ht="25.5">
      <c r="A1214" s="241" t="s">
        <v>1196</v>
      </c>
      <c r="B1214" s="242" t="s">
        <v>207</v>
      </c>
      <c r="C1214" s="242" t="s">
        <v>395</v>
      </c>
      <c r="D1214" s="242" t="s">
        <v>750</v>
      </c>
      <c r="E1214" s="242" t="s">
        <v>1197</v>
      </c>
      <c r="F1214" s="243">
        <v>40573722.780000001</v>
      </c>
      <c r="G1214" s="243">
        <v>39715270.670000002</v>
      </c>
      <c r="H1214" s="243">
        <f t="shared" si="38"/>
        <v>97.884216554012752</v>
      </c>
      <c r="I1214" s="123" t="str">
        <f t="shared" si="39"/>
        <v>07020110040020240</v>
      </c>
    </row>
    <row r="1215" spans="1:9" ht="25.5">
      <c r="A1215" s="241" t="s">
        <v>343</v>
      </c>
      <c r="B1215" s="242" t="s">
        <v>207</v>
      </c>
      <c r="C1215" s="242" t="s">
        <v>395</v>
      </c>
      <c r="D1215" s="242" t="s">
        <v>750</v>
      </c>
      <c r="E1215" s="242" t="s">
        <v>344</v>
      </c>
      <c r="F1215" s="243">
        <v>600000</v>
      </c>
      <c r="G1215" s="243">
        <v>600000</v>
      </c>
      <c r="H1215" s="243">
        <f t="shared" si="38"/>
        <v>100</v>
      </c>
      <c r="I1215" s="123" t="str">
        <f t="shared" si="39"/>
        <v>07020110040020243</v>
      </c>
    </row>
    <row r="1216" spans="1:9">
      <c r="A1216" s="241" t="s">
        <v>1223</v>
      </c>
      <c r="B1216" s="242" t="s">
        <v>207</v>
      </c>
      <c r="C1216" s="242" t="s">
        <v>395</v>
      </c>
      <c r="D1216" s="242" t="s">
        <v>750</v>
      </c>
      <c r="E1216" s="242" t="s">
        <v>329</v>
      </c>
      <c r="F1216" s="243">
        <v>39973722.780000001</v>
      </c>
      <c r="G1216" s="243">
        <v>39115270.670000002</v>
      </c>
      <c r="H1216" s="243">
        <f t="shared" si="38"/>
        <v>97.852458939777549</v>
      </c>
      <c r="I1216" s="123" t="str">
        <f t="shared" si="39"/>
        <v>07020110040020244</v>
      </c>
    </row>
    <row r="1217" spans="1:9">
      <c r="A1217" s="241" t="s">
        <v>1321</v>
      </c>
      <c r="B1217" s="242" t="s">
        <v>207</v>
      </c>
      <c r="C1217" s="242" t="s">
        <v>395</v>
      </c>
      <c r="D1217" s="242" t="s">
        <v>750</v>
      </c>
      <c r="E1217" s="242" t="s">
        <v>1322</v>
      </c>
      <c r="F1217" s="243">
        <v>460998.75</v>
      </c>
      <c r="G1217" s="243">
        <v>455795.07</v>
      </c>
      <c r="H1217" s="243">
        <f t="shared" si="38"/>
        <v>98.871216028243026</v>
      </c>
      <c r="I1217" s="123" t="str">
        <f t="shared" si="39"/>
        <v>07020110040020800</v>
      </c>
    </row>
    <row r="1218" spans="1:9">
      <c r="A1218" s="241" t="s">
        <v>1210</v>
      </c>
      <c r="B1218" s="242" t="s">
        <v>207</v>
      </c>
      <c r="C1218" s="242" t="s">
        <v>395</v>
      </c>
      <c r="D1218" s="242" t="s">
        <v>750</v>
      </c>
      <c r="E1218" s="242" t="s">
        <v>201</v>
      </c>
      <c r="F1218" s="243">
        <v>18275.240000000002</v>
      </c>
      <c r="G1218" s="243">
        <v>18275.240000000002</v>
      </c>
      <c r="H1218" s="243">
        <f t="shared" si="38"/>
        <v>100</v>
      </c>
      <c r="I1218" s="123" t="str">
        <f t="shared" si="39"/>
        <v>07020110040020830</v>
      </c>
    </row>
    <row r="1219" spans="1:9" ht="38.25">
      <c r="A1219" s="241" t="s">
        <v>1162</v>
      </c>
      <c r="B1219" s="242" t="s">
        <v>207</v>
      </c>
      <c r="C1219" s="242" t="s">
        <v>395</v>
      </c>
      <c r="D1219" s="242" t="s">
        <v>750</v>
      </c>
      <c r="E1219" s="242" t="s">
        <v>432</v>
      </c>
      <c r="F1219" s="243">
        <v>18275.240000000002</v>
      </c>
      <c r="G1219" s="243">
        <v>18275.240000000002</v>
      </c>
      <c r="H1219" s="243">
        <f t="shared" si="38"/>
        <v>100</v>
      </c>
      <c r="I1219" s="123" t="str">
        <f t="shared" si="39"/>
        <v>07020110040020831</v>
      </c>
    </row>
    <row r="1220" spans="1:9">
      <c r="A1220" s="241" t="s">
        <v>1201</v>
      </c>
      <c r="B1220" s="242" t="s">
        <v>207</v>
      </c>
      <c r="C1220" s="242" t="s">
        <v>395</v>
      </c>
      <c r="D1220" s="242" t="s">
        <v>750</v>
      </c>
      <c r="E1220" s="242" t="s">
        <v>1202</v>
      </c>
      <c r="F1220" s="243">
        <v>442723.51</v>
      </c>
      <c r="G1220" s="243">
        <v>437519.83</v>
      </c>
      <c r="H1220" s="243">
        <f t="shared" si="38"/>
        <v>98.82462081130501</v>
      </c>
      <c r="I1220" s="123" t="str">
        <f t="shared" si="39"/>
        <v>07020110040020850</v>
      </c>
    </row>
    <row r="1221" spans="1:9">
      <c r="A1221" s="241" t="s">
        <v>2092</v>
      </c>
      <c r="B1221" s="242" t="s">
        <v>207</v>
      </c>
      <c r="C1221" s="242" t="s">
        <v>395</v>
      </c>
      <c r="D1221" s="242" t="s">
        <v>750</v>
      </c>
      <c r="E1221" s="242" t="s">
        <v>2093</v>
      </c>
      <c r="F1221" s="243">
        <v>4500</v>
      </c>
      <c r="G1221" s="243">
        <v>4500</v>
      </c>
      <c r="H1221" s="243">
        <f t="shared" ref="H1221:H1284" si="40">G1221/F1221*100</f>
        <v>100</v>
      </c>
      <c r="I1221" s="123" t="str">
        <f t="shared" si="39"/>
        <v>07020110040020852</v>
      </c>
    </row>
    <row r="1222" spans="1:9">
      <c r="A1222" s="241" t="s">
        <v>1057</v>
      </c>
      <c r="B1222" s="242" t="s">
        <v>207</v>
      </c>
      <c r="C1222" s="242" t="s">
        <v>395</v>
      </c>
      <c r="D1222" s="242" t="s">
        <v>750</v>
      </c>
      <c r="E1222" s="242" t="s">
        <v>1058</v>
      </c>
      <c r="F1222" s="243">
        <v>438223.51</v>
      </c>
      <c r="G1222" s="243">
        <v>433019.83</v>
      </c>
      <c r="H1222" s="243">
        <f t="shared" si="40"/>
        <v>98.812551156828619</v>
      </c>
      <c r="I1222" s="123" t="str">
        <f t="shared" si="39"/>
        <v>07020110040020853</v>
      </c>
    </row>
    <row r="1223" spans="1:9" ht="153">
      <c r="A1223" s="241" t="s">
        <v>415</v>
      </c>
      <c r="B1223" s="242" t="s">
        <v>207</v>
      </c>
      <c r="C1223" s="242" t="s">
        <v>395</v>
      </c>
      <c r="D1223" s="242" t="s">
        <v>751</v>
      </c>
      <c r="E1223" s="242"/>
      <c r="F1223" s="243">
        <v>66151200.420000002</v>
      </c>
      <c r="G1223" s="243">
        <v>65877782.939999998</v>
      </c>
      <c r="H1223" s="243">
        <f t="shared" si="40"/>
        <v>99.586677976719912</v>
      </c>
      <c r="I1223" s="123" t="str">
        <f t="shared" si="39"/>
        <v>07020110041020</v>
      </c>
    </row>
    <row r="1224" spans="1:9" ht="63.75">
      <c r="A1224" s="241" t="s">
        <v>1318</v>
      </c>
      <c r="B1224" s="242" t="s">
        <v>207</v>
      </c>
      <c r="C1224" s="242" t="s">
        <v>395</v>
      </c>
      <c r="D1224" s="242" t="s">
        <v>751</v>
      </c>
      <c r="E1224" s="242" t="s">
        <v>273</v>
      </c>
      <c r="F1224" s="243">
        <v>66151200.420000002</v>
      </c>
      <c r="G1224" s="243">
        <v>65877782.939999998</v>
      </c>
      <c r="H1224" s="243">
        <f t="shared" si="40"/>
        <v>99.586677976719912</v>
      </c>
      <c r="I1224" s="123" t="str">
        <f t="shared" si="39"/>
        <v>07020110041020100</v>
      </c>
    </row>
    <row r="1225" spans="1:9">
      <c r="A1225" s="241" t="s">
        <v>1190</v>
      </c>
      <c r="B1225" s="242" t="s">
        <v>207</v>
      </c>
      <c r="C1225" s="242" t="s">
        <v>395</v>
      </c>
      <c r="D1225" s="242" t="s">
        <v>751</v>
      </c>
      <c r="E1225" s="242" t="s">
        <v>133</v>
      </c>
      <c r="F1225" s="243">
        <v>66151200.420000002</v>
      </c>
      <c r="G1225" s="243">
        <v>65877782.939999998</v>
      </c>
      <c r="H1225" s="243">
        <f t="shared" si="40"/>
        <v>99.586677976719912</v>
      </c>
      <c r="I1225" s="123" t="str">
        <f t="shared" si="39"/>
        <v>07020110041020110</v>
      </c>
    </row>
    <row r="1226" spans="1:9">
      <c r="A1226" s="241" t="s">
        <v>1138</v>
      </c>
      <c r="B1226" s="242" t="s">
        <v>207</v>
      </c>
      <c r="C1226" s="242" t="s">
        <v>395</v>
      </c>
      <c r="D1226" s="242" t="s">
        <v>751</v>
      </c>
      <c r="E1226" s="242" t="s">
        <v>342</v>
      </c>
      <c r="F1226" s="243">
        <v>50841943.850000001</v>
      </c>
      <c r="G1226" s="243">
        <v>50622783.619999997</v>
      </c>
      <c r="H1226" s="243">
        <f t="shared" si="40"/>
        <v>99.568938137679012</v>
      </c>
      <c r="I1226" s="123" t="str">
        <f t="shared" si="39"/>
        <v>07020110041020111</v>
      </c>
    </row>
    <row r="1227" spans="1:9" ht="38.25">
      <c r="A1227" s="241" t="s">
        <v>1139</v>
      </c>
      <c r="B1227" s="242" t="s">
        <v>207</v>
      </c>
      <c r="C1227" s="242" t="s">
        <v>395</v>
      </c>
      <c r="D1227" s="242" t="s">
        <v>751</v>
      </c>
      <c r="E1227" s="242" t="s">
        <v>1056</v>
      </c>
      <c r="F1227" s="243">
        <v>15309256.57</v>
      </c>
      <c r="G1227" s="243">
        <v>15254999.32</v>
      </c>
      <c r="H1227" s="243">
        <f t="shared" si="40"/>
        <v>99.645591869520814</v>
      </c>
      <c r="I1227" s="123" t="str">
        <f t="shared" si="39"/>
        <v>07020110041020119</v>
      </c>
    </row>
    <row r="1228" spans="1:9" ht="127.5">
      <c r="A1228" s="241" t="s">
        <v>530</v>
      </c>
      <c r="B1228" s="242" t="s">
        <v>207</v>
      </c>
      <c r="C1228" s="242" t="s">
        <v>395</v>
      </c>
      <c r="D1228" s="242" t="s">
        <v>757</v>
      </c>
      <c r="E1228" s="242"/>
      <c r="F1228" s="243">
        <v>5935756</v>
      </c>
      <c r="G1228" s="243">
        <v>3327756</v>
      </c>
      <c r="H1228" s="243">
        <f t="shared" si="40"/>
        <v>56.062883986471149</v>
      </c>
      <c r="I1228" s="123" t="str">
        <f t="shared" si="39"/>
        <v>07020110043020</v>
      </c>
    </row>
    <row r="1229" spans="1:9" ht="63.75">
      <c r="A1229" s="241" t="s">
        <v>1318</v>
      </c>
      <c r="B1229" s="242" t="s">
        <v>207</v>
      </c>
      <c r="C1229" s="242" t="s">
        <v>395</v>
      </c>
      <c r="D1229" s="242" t="s">
        <v>757</v>
      </c>
      <c r="E1229" s="242" t="s">
        <v>273</v>
      </c>
      <c r="F1229" s="243">
        <v>1311185.6599999999</v>
      </c>
      <c r="G1229" s="243">
        <v>735744.45</v>
      </c>
      <c r="H1229" s="243">
        <f t="shared" si="40"/>
        <v>56.112911576534472</v>
      </c>
      <c r="I1229" s="123" t="str">
        <f t="shared" si="39"/>
        <v>07020110043020100</v>
      </c>
    </row>
    <row r="1230" spans="1:9">
      <c r="A1230" s="241" t="s">
        <v>1190</v>
      </c>
      <c r="B1230" s="242" t="s">
        <v>207</v>
      </c>
      <c r="C1230" s="242" t="s">
        <v>395</v>
      </c>
      <c r="D1230" s="242" t="s">
        <v>757</v>
      </c>
      <c r="E1230" s="242" t="s">
        <v>133</v>
      </c>
      <c r="F1230" s="243">
        <v>1311185.6599999999</v>
      </c>
      <c r="G1230" s="243">
        <v>735744.45</v>
      </c>
      <c r="H1230" s="243">
        <f t="shared" si="40"/>
        <v>56.112911576534472</v>
      </c>
      <c r="I1230" s="123" t="str">
        <f t="shared" si="39"/>
        <v>07020110043020110</v>
      </c>
    </row>
    <row r="1231" spans="1:9">
      <c r="A1231" s="241" t="s">
        <v>1138</v>
      </c>
      <c r="B1231" s="242" t="s">
        <v>207</v>
      </c>
      <c r="C1231" s="242" t="s">
        <v>395</v>
      </c>
      <c r="D1231" s="242" t="s">
        <v>757</v>
      </c>
      <c r="E1231" s="242" t="s">
        <v>342</v>
      </c>
      <c r="F1231" s="243">
        <v>408000</v>
      </c>
      <c r="G1231" s="243">
        <v>408000</v>
      </c>
      <c r="H1231" s="243">
        <f t="shared" si="40"/>
        <v>100</v>
      </c>
      <c r="I1231" s="123" t="str">
        <f t="shared" si="39"/>
        <v>07020110043020111</v>
      </c>
    </row>
    <row r="1232" spans="1:9" ht="25.5">
      <c r="A1232" s="241" t="s">
        <v>1147</v>
      </c>
      <c r="B1232" s="242" t="s">
        <v>207</v>
      </c>
      <c r="C1232" s="242" t="s">
        <v>395</v>
      </c>
      <c r="D1232" s="242" t="s">
        <v>757</v>
      </c>
      <c r="E1232" s="242" t="s">
        <v>391</v>
      </c>
      <c r="F1232" s="243">
        <v>420000</v>
      </c>
      <c r="G1232" s="243">
        <v>90662.79</v>
      </c>
      <c r="H1232" s="243">
        <f t="shared" si="40"/>
        <v>21.586378571428568</v>
      </c>
      <c r="I1232" s="123" t="str">
        <f t="shared" si="39"/>
        <v>07020110043020112</v>
      </c>
    </row>
    <row r="1233" spans="1:9">
      <c r="A1233" s="241" t="s">
        <v>1963</v>
      </c>
      <c r="B1233" s="242" t="s">
        <v>207</v>
      </c>
      <c r="C1233" s="242" t="s">
        <v>395</v>
      </c>
      <c r="D1233" s="242" t="s">
        <v>757</v>
      </c>
      <c r="E1233" s="242" t="s">
        <v>1059</v>
      </c>
      <c r="F1233" s="243">
        <v>360000</v>
      </c>
      <c r="G1233" s="243">
        <v>113896</v>
      </c>
      <c r="H1233" s="243">
        <f t="shared" si="40"/>
        <v>31.637777777777774</v>
      </c>
      <c r="I1233" s="123" t="str">
        <f t="shared" si="39"/>
        <v>07020110043020113</v>
      </c>
    </row>
    <row r="1234" spans="1:9" ht="38.25">
      <c r="A1234" s="241" t="s">
        <v>1139</v>
      </c>
      <c r="B1234" s="242" t="s">
        <v>207</v>
      </c>
      <c r="C1234" s="242" t="s">
        <v>395</v>
      </c>
      <c r="D1234" s="242" t="s">
        <v>757</v>
      </c>
      <c r="E1234" s="242" t="s">
        <v>1056</v>
      </c>
      <c r="F1234" s="243">
        <v>123185.66</v>
      </c>
      <c r="G1234" s="243">
        <v>123185.66</v>
      </c>
      <c r="H1234" s="243">
        <f t="shared" si="40"/>
        <v>100</v>
      </c>
      <c r="I1234" s="123" t="str">
        <f t="shared" si="39"/>
        <v>07020110043020119</v>
      </c>
    </row>
    <row r="1235" spans="1:9" ht="25.5">
      <c r="A1235" s="241" t="s">
        <v>1319</v>
      </c>
      <c r="B1235" s="242" t="s">
        <v>207</v>
      </c>
      <c r="C1235" s="242" t="s">
        <v>395</v>
      </c>
      <c r="D1235" s="242" t="s">
        <v>757</v>
      </c>
      <c r="E1235" s="242" t="s">
        <v>1320</v>
      </c>
      <c r="F1235" s="243">
        <v>4624570.34</v>
      </c>
      <c r="G1235" s="243">
        <v>2592011.5499999998</v>
      </c>
      <c r="H1235" s="243">
        <f t="shared" si="40"/>
        <v>56.048699866894012</v>
      </c>
      <c r="I1235" s="123" t="str">
        <f t="shared" si="39"/>
        <v>07020110043020200</v>
      </c>
    </row>
    <row r="1236" spans="1:9" ht="25.5">
      <c r="A1236" s="241" t="s">
        <v>1196</v>
      </c>
      <c r="B1236" s="242" t="s">
        <v>207</v>
      </c>
      <c r="C1236" s="242" t="s">
        <v>395</v>
      </c>
      <c r="D1236" s="242" t="s">
        <v>757</v>
      </c>
      <c r="E1236" s="242" t="s">
        <v>1197</v>
      </c>
      <c r="F1236" s="243">
        <v>4624570.34</v>
      </c>
      <c r="G1236" s="243">
        <v>2592011.5499999998</v>
      </c>
      <c r="H1236" s="243">
        <f t="shared" si="40"/>
        <v>56.048699866894012</v>
      </c>
      <c r="I1236" s="123" t="str">
        <f t="shared" si="39"/>
        <v>07020110043020240</v>
      </c>
    </row>
    <row r="1237" spans="1:9">
      <c r="A1237" s="241" t="s">
        <v>1223</v>
      </c>
      <c r="B1237" s="242" t="s">
        <v>207</v>
      </c>
      <c r="C1237" s="242" t="s">
        <v>395</v>
      </c>
      <c r="D1237" s="242" t="s">
        <v>757</v>
      </c>
      <c r="E1237" s="242" t="s">
        <v>329</v>
      </c>
      <c r="F1237" s="243">
        <v>4624570.34</v>
      </c>
      <c r="G1237" s="243">
        <v>2592011.5499999998</v>
      </c>
      <c r="H1237" s="243">
        <f t="shared" si="40"/>
        <v>56.048699866894012</v>
      </c>
      <c r="I1237" s="123" t="str">
        <f t="shared" si="39"/>
        <v>07020110043020244</v>
      </c>
    </row>
    <row r="1238" spans="1:9" ht="114.75">
      <c r="A1238" s="241" t="s">
        <v>578</v>
      </c>
      <c r="B1238" s="242" t="s">
        <v>207</v>
      </c>
      <c r="C1238" s="242" t="s">
        <v>395</v>
      </c>
      <c r="D1238" s="242" t="s">
        <v>752</v>
      </c>
      <c r="E1238" s="242"/>
      <c r="F1238" s="243">
        <v>431960.92</v>
      </c>
      <c r="G1238" s="243">
        <v>424473.42</v>
      </c>
      <c r="H1238" s="243">
        <f t="shared" si="40"/>
        <v>98.266625601223367</v>
      </c>
      <c r="I1238" s="123" t="str">
        <f t="shared" si="39"/>
        <v>07020110047020</v>
      </c>
    </row>
    <row r="1239" spans="1:9" ht="63.75">
      <c r="A1239" s="241" t="s">
        <v>1318</v>
      </c>
      <c r="B1239" s="242" t="s">
        <v>207</v>
      </c>
      <c r="C1239" s="242" t="s">
        <v>395</v>
      </c>
      <c r="D1239" s="242" t="s">
        <v>752</v>
      </c>
      <c r="E1239" s="242" t="s">
        <v>273</v>
      </c>
      <c r="F1239" s="243">
        <v>431960.92</v>
      </c>
      <c r="G1239" s="243">
        <v>424473.42</v>
      </c>
      <c r="H1239" s="243">
        <f t="shared" si="40"/>
        <v>98.266625601223367</v>
      </c>
      <c r="I1239" s="123" t="str">
        <f t="shared" si="39"/>
        <v>07020110047020100</v>
      </c>
    </row>
    <row r="1240" spans="1:9">
      <c r="A1240" s="241" t="s">
        <v>1190</v>
      </c>
      <c r="B1240" s="242" t="s">
        <v>207</v>
      </c>
      <c r="C1240" s="242" t="s">
        <v>395</v>
      </c>
      <c r="D1240" s="242" t="s">
        <v>752</v>
      </c>
      <c r="E1240" s="242" t="s">
        <v>133</v>
      </c>
      <c r="F1240" s="243">
        <v>431960.92</v>
      </c>
      <c r="G1240" s="243">
        <v>424473.42</v>
      </c>
      <c r="H1240" s="243">
        <f t="shared" si="40"/>
        <v>98.266625601223367</v>
      </c>
      <c r="I1240" s="123" t="str">
        <f t="shared" si="39"/>
        <v>07020110047020110</v>
      </c>
    </row>
    <row r="1241" spans="1:9" ht="25.5">
      <c r="A1241" s="241" t="s">
        <v>1147</v>
      </c>
      <c r="B1241" s="242" t="s">
        <v>207</v>
      </c>
      <c r="C1241" s="242" t="s">
        <v>395</v>
      </c>
      <c r="D1241" s="242" t="s">
        <v>752</v>
      </c>
      <c r="E1241" s="242" t="s">
        <v>391</v>
      </c>
      <c r="F1241" s="243">
        <v>431960.92</v>
      </c>
      <c r="G1241" s="243">
        <v>424473.42</v>
      </c>
      <c r="H1241" s="243">
        <f t="shared" si="40"/>
        <v>98.266625601223367</v>
      </c>
      <c r="I1241" s="123" t="str">
        <f t="shared" si="39"/>
        <v>07020110047020112</v>
      </c>
    </row>
    <row r="1242" spans="1:9" ht="127.5">
      <c r="A1242" s="241" t="s">
        <v>580</v>
      </c>
      <c r="B1242" s="242" t="s">
        <v>207</v>
      </c>
      <c r="C1242" s="242" t="s">
        <v>395</v>
      </c>
      <c r="D1242" s="242" t="s">
        <v>753</v>
      </c>
      <c r="E1242" s="242"/>
      <c r="F1242" s="243">
        <v>111842231.11</v>
      </c>
      <c r="G1242" s="243">
        <v>108309993.25</v>
      </c>
      <c r="H1242" s="243">
        <f t="shared" si="40"/>
        <v>96.841767349467531</v>
      </c>
      <c r="I1242" s="123" t="str">
        <f t="shared" si="39"/>
        <v>0702011004Г020</v>
      </c>
    </row>
    <row r="1243" spans="1:9" ht="25.5">
      <c r="A1243" s="241" t="s">
        <v>1319</v>
      </c>
      <c r="B1243" s="242" t="s">
        <v>207</v>
      </c>
      <c r="C1243" s="242" t="s">
        <v>395</v>
      </c>
      <c r="D1243" s="242" t="s">
        <v>753</v>
      </c>
      <c r="E1243" s="242" t="s">
        <v>1320</v>
      </c>
      <c r="F1243" s="243">
        <v>111842231.11</v>
      </c>
      <c r="G1243" s="243">
        <v>108309993.25</v>
      </c>
      <c r="H1243" s="243">
        <f t="shared" si="40"/>
        <v>96.841767349467531</v>
      </c>
      <c r="I1243" s="123" t="str">
        <f t="shared" si="39"/>
        <v>0702011004Г020200</v>
      </c>
    </row>
    <row r="1244" spans="1:9" ht="25.5">
      <c r="A1244" s="241" t="s">
        <v>1196</v>
      </c>
      <c r="B1244" s="242" t="s">
        <v>207</v>
      </c>
      <c r="C1244" s="242" t="s">
        <v>395</v>
      </c>
      <c r="D1244" s="242" t="s">
        <v>753</v>
      </c>
      <c r="E1244" s="242" t="s">
        <v>1197</v>
      </c>
      <c r="F1244" s="243">
        <v>111842231.11</v>
      </c>
      <c r="G1244" s="243">
        <v>108309993.25</v>
      </c>
      <c r="H1244" s="243">
        <f t="shared" si="40"/>
        <v>96.841767349467531</v>
      </c>
      <c r="I1244" s="123" t="str">
        <f t="shared" si="39"/>
        <v>0702011004Г020240</v>
      </c>
    </row>
    <row r="1245" spans="1:9">
      <c r="A1245" s="241" t="s">
        <v>1223</v>
      </c>
      <c r="B1245" s="242" t="s">
        <v>207</v>
      </c>
      <c r="C1245" s="242" t="s">
        <v>395</v>
      </c>
      <c r="D1245" s="242" t="s">
        <v>753</v>
      </c>
      <c r="E1245" s="242" t="s">
        <v>329</v>
      </c>
      <c r="F1245" s="243">
        <v>11780256.369999999</v>
      </c>
      <c r="G1245" s="243">
        <v>9569404.4499999993</v>
      </c>
      <c r="H1245" s="243">
        <f t="shared" si="40"/>
        <v>81.232565314705454</v>
      </c>
      <c r="I1245" s="123" t="str">
        <f t="shared" si="39"/>
        <v>0702011004Г020244</v>
      </c>
    </row>
    <row r="1246" spans="1:9">
      <c r="A1246" s="241" t="s">
        <v>1699</v>
      </c>
      <c r="B1246" s="242" t="s">
        <v>207</v>
      </c>
      <c r="C1246" s="242" t="s">
        <v>395</v>
      </c>
      <c r="D1246" s="242" t="s">
        <v>753</v>
      </c>
      <c r="E1246" s="242" t="s">
        <v>1700</v>
      </c>
      <c r="F1246" s="243">
        <v>100061974.73999999</v>
      </c>
      <c r="G1246" s="243">
        <v>98740588.799999997</v>
      </c>
      <c r="H1246" s="243">
        <f t="shared" si="40"/>
        <v>98.679432478288106</v>
      </c>
      <c r="I1246" s="123" t="str">
        <f t="shared" si="39"/>
        <v>0702011004Г020247</v>
      </c>
    </row>
    <row r="1247" spans="1:9" ht="127.5">
      <c r="A1247" s="241" t="s">
        <v>1784</v>
      </c>
      <c r="B1247" s="242" t="s">
        <v>207</v>
      </c>
      <c r="C1247" s="242" t="s">
        <v>395</v>
      </c>
      <c r="D1247" s="242" t="s">
        <v>1785</v>
      </c>
      <c r="E1247" s="242"/>
      <c r="F1247" s="243">
        <v>1767683.53</v>
      </c>
      <c r="G1247" s="243">
        <v>1393775.75</v>
      </c>
      <c r="H1247" s="243">
        <f t="shared" si="40"/>
        <v>78.847583650903843</v>
      </c>
      <c r="I1247" s="123" t="str">
        <f t="shared" si="39"/>
        <v>0702011004М020</v>
      </c>
    </row>
    <row r="1248" spans="1:9" ht="25.5">
      <c r="A1248" s="241" t="s">
        <v>1319</v>
      </c>
      <c r="B1248" s="242" t="s">
        <v>207</v>
      </c>
      <c r="C1248" s="242" t="s">
        <v>395</v>
      </c>
      <c r="D1248" s="242" t="s">
        <v>1785</v>
      </c>
      <c r="E1248" s="242" t="s">
        <v>1320</v>
      </c>
      <c r="F1248" s="243">
        <v>1767683.53</v>
      </c>
      <c r="G1248" s="243">
        <v>1393775.75</v>
      </c>
      <c r="H1248" s="243">
        <f t="shared" si="40"/>
        <v>78.847583650903843</v>
      </c>
      <c r="I1248" s="123" t="str">
        <f t="shared" si="39"/>
        <v>0702011004М020200</v>
      </c>
    </row>
    <row r="1249" spans="1:9" ht="25.5">
      <c r="A1249" s="241" t="s">
        <v>1196</v>
      </c>
      <c r="B1249" s="242" t="s">
        <v>207</v>
      </c>
      <c r="C1249" s="242" t="s">
        <v>395</v>
      </c>
      <c r="D1249" s="242" t="s">
        <v>1785</v>
      </c>
      <c r="E1249" s="242" t="s">
        <v>1197</v>
      </c>
      <c r="F1249" s="243">
        <v>1767683.53</v>
      </c>
      <c r="G1249" s="243">
        <v>1393775.75</v>
      </c>
      <c r="H1249" s="243">
        <f t="shared" si="40"/>
        <v>78.847583650903843</v>
      </c>
      <c r="I1249" s="123" t="str">
        <f t="shared" si="39"/>
        <v>0702011004М020240</v>
      </c>
    </row>
    <row r="1250" spans="1:9">
      <c r="A1250" s="241" t="s">
        <v>1223</v>
      </c>
      <c r="B1250" s="242" t="s">
        <v>207</v>
      </c>
      <c r="C1250" s="242" t="s">
        <v>395</v>
      </c>
      <c r="D1250" s="242" t="s">
        <v>1785</v>
      </c>
      <c r="E1250" s="242" t="s">
        <v>329</v>
      </c>
      <c r="F1250" s="243">
        <v>1767683.53</v>
      </c>
      <c r="G1250" s="243">
        <v>1393775.75</v>
      </c>
      <c r="H1250" s="243">
        <f t="shared" si="40"/>
        <v>78.847583650903843</v>
      </c>
      <c r="I1250" s="123" t="str">
        <f t="shared" si="39"/>
        <v>0702011004М020244</v>
      </c>
    </row>
    <row r="1251" spans="1:9" ht="114.75">
      <c r="A1251" s="241" t="s">
        <v>582</v>
      </c>
      <c r="B1251" s="242" t="s">
        <v>207</v>
      </c>
      <c r="C1251" s="242" t="s">
        <v>395</v>
      </c>
      <c r="D1251" s="242" t="s">
        <v>758</v>
      </c>
      <c r="E1251" s="242"/>
      <c r="F1251" s="243">
        <v>5793000</v>
      </c>
      <c r="G1251" s="243">
        <v>5792999.96</v>
      </c>
      <c r="H1251" s="243">
        <f t="shared" si="40"/>
        <v>99.99999930951148</v>
      </c>
      <c r="I1251" s="123" t="str">
        <f t="shared" si="39"/>
        <v>0702011004П020</v>
      </c>
    </row>
    <row r="1252" spans="1:9" ht="25.5">
      <c r="A1252" s="241" t="s">
        <v>1319</v>
      </c>
      <c r="B1252" s="242" t="s">
        <v>207</v>
      </c>
      <c r="C1252" s="242" t="s">
        <v>395</v>
      </c>
      <c r="D1252" s="242" t="s">
        <v>758</v>
      </c>
      <c r="E1252" s="242" t="s">
        <v>1320</v>
      </c>
      <c r="F1252" s="243">
        <v>5793000</v>
      </c>
      <c r="G1252" s="243">
        <v>5792999.96</v>
      </c>
      <c r="H1252" s="243">
        <f t="shared" si="40"/>
        <v>99.99999930951148</v>
      </c>
      <c r="I1252" s="123" t="str">
        <f t="shared" si="39"/>
        <v>0702011004П020200</v>
      </c>
    </row>
    <row r="1253" spans="1:9" ht="25.5">
      <c r="A1253" s="241" t="s">
        <v>1196</v>
      </c>
      <c r="B1253" s="242" t="s">
        <v>207</v>
      </c>
      <c r="C1253" s="242" t="s">
        <v>395</v>
      </c>
      <c r="D1253" s="242" t="s">
        <v>758</v>
      </c>
      <c r="E1253" s="242" t="s">
        <v>1197</v>
      </c>
      <c r="F1253" s="243">
        <v>5793000</v>
      </c>
      <c r="G1253" s="243">
        <v>5792999.96</v>
      </c>
      <c r="H1253" s="243">
        <f t="shared" si="40"/>
        <v>99.99999930951148</v>
      </c>
      <c r="I1253" s="123" t="str">
        <f t="shared" si="39"/>
        <v>0702011004П020240</v>
      </c>
    </row>
    <row r="1254" spans="1:9">
      <c r="A1254" s="241" t="s">
        <v>1223</v>
      </c>
      <c r="B1254" s="242" t="s">
        <v>207</v>
      </c>
      <c r="C1254" s="242" t="s">
        <v>395</v>
      </c>
      <c r="D1254" s="242" t="s">
        <v>758</v>
      </c>
      <c r="E1254" s="242" t="s">
        <v>329</v>
      </c>
      <c r="F1254" s="243">
        <v>5793000</v>
      </c>
      <c r="G1254" s="243">
        <v>5792999.96</v>
      </c>
      <c r="H1254" s="243">
        <f t="shared" si="40"/>
        <v>99.99999930951148</v>
      </c>
      <c r="I1254" s="123" t="str">
        <f t="shared" ref="I1254:I1315" si="41">CONCATENATE(C1254,D1254,E1254)</f>
        <v>0702011004П020244</v>
      </c>
    </row>
    <row r="1255" spans="1:9" ht="76.5">
      <c r="A1255" s="241" t="s">
        <v>2086</v>
      </c>
      <c r="B1255" s="242" t="s">
        <v>207</v>
      </c>
      <c r="C1255" s="242" t="s">
        <v>395</v>
      </c>
      <c r="D1255" s="242" t="s">
        <v>2087</v>
      </c>
      <c r="E1255" s="242"/>
      <c r="F1255" s="243">
        <v>3570260.55</v>
      </c>
      <c r="G1255" s="243">
        <v>3566655.55</v>
      </c>
      <c r="H1255" s="243">
        <f t="shared" si="40"/>
        <v>99.899026977176774</v>
      </c>
      <c r="I1255" s="123" t="str">
        <f t="shared" si="41"/>
        <v>0702011004Ф000</v>
      </c>
    </row>
    <row r="1256" spans="1:9" ht="25.5">
      <c r="A1256" s="241" t="s">
        <v>1319</v>
      </c>
      <c r="B1256" s="242" t="s">
        <v>207</v>
      </c>
      <c r="C1256" s="242" t="s">
        <v>395</v>
      </c>
      <c r="D1256" s="242" t="s">
        <v>2087</v>
      </c>
      <c r="E1256" s="242" t="s">
        <v>1320</v>
      </c>
      <c r="F1256" s="243">
        <v>3570260.55</v>
      </c>
      <c r="G1256" s="243">
        <v>3566655.55</v>
      </c>
      <c r="H1256" s="243">
        <f t="shared" si="40"/>
        <v>99.899026977176774</v>
      </c>
      <c r="I1256" s="123" t="str">
        <f t="shared" si="41"/>
        <v>0702011004Ф000200</v>
      </c>
    </row>
    <row r="1257" spans="1:9" ht="25.5">
      <c r="A1257" s="241" t="s">
        <v>1196</v>
      </c>
      <c r="B1257" s="242" t="s">
        <v>207</v>
      </c>
      <c r="C1257" s="242" t="s">
        <v>395</v>
      </c>
      <c r="D1257" s="242" t="s">
        <v>2087</v>
      </c>
      <c r="E1257" s="242" t="s">
        <v>1197</v>
      </c>
      <c r="F1257" s="243">
        <v>3570260.55</v>
      </c>
      <c r="G1257" s="243">
        <v>3566655.55</v>
      </c>
      <c r="H1257" s="243">
        <f t="shared" si="40"/>
        <v>99.899026977176774</v>
      </c>
      <c r="I1257" s="123" t="str">
        <f t="shared" si="41"/>
        <v>0702011004Ф000240</v>
      </c>
    </row>
    <row r="1258" spans="1:9">
      <c r="A1258" s="241" t="s">
        <v>1223</v>
      </c>
      <c r="B1258" s="242" t="s">
        <v>207</v>
      </c>
      <c r="C1258" s="242" t="s">
        <v>395</v>
      </c>
      <c r="D1258" s="242" t="s">
        <v>2087</v>
      </c>
      <c r="E1258" s="242" t="s">
        <v>329</v>
      </c>
      <c r="F1258" s="243">
        <v>3570260.55</v>
      </c>
      <c r="G1258" s="243">
        <v>3566655.55</v>
      </c>
      <c r="H1258" s="243">
        <f t="shared" si="40"/>
        <v>99.899026977176774</v>
      </c>
      <c r="I1258" s="123" t="str">
        <f t="shared" si="41"/>
        <v>0702011004Ф000244</v>
      </c>
    </row>
    <row r="1259" spans="1:9" ht="114.75">
      <c r="A1259" s="241" t="s">
        <v>964</v>
      </c>
      <c r="B1259" s="242" t="s">
        <v>207</v>
      </c>
      <c r="C1259" s="242" t="s">
        <v>395</v>
      </c>
      <c r="D1259" s="242" t="s">
        <v>965</v>
      </c>
      <c r="E1259" s="242"/>
      <c r="F1259" s="243">
        <v>11277696.140000001</v>
      </c>
      <c r="G1259" s="243">
        <v>10222461.76</v>
      </c>
      <c r="H1259" s="243">
        <f t="shared" si="40"/>
        <v>90.643174218382512</v>
      </c>
      <c r="I1259" s="123" t="str">
        <f t="shared" si="41"/>
        <v>0702011004Э020</v>
      </c>
    </row>
    <row r="1260" spans="1:9" ht="25.5">
      <c r="A1260" s="241" t="s">
        <v>1319</v>
      </c>
      <c r="B1260" s="242" t="s">
        <v>207</v>
      </c>
      <c r="C1260" s="242" t="s">
        <v>395</v>
      </c>
      <c r="D1260" s="242" t="s">
        <v>965</v>
      </c>
      <c r="E1260" s="242" t="s">
        <v>1320</v>
      </c>
      <c r="F1260" s="243">
        <v>11277696.140000001</v>
      </c>
      <c r="G1260" s="243">
        <v>10222461.76</v>
      </c>
      <c r="H1260" s="243">
        <f t="shared" si="40"/>
        <v>90.643174218382512</v>
      </c>
      <c r="I1260" s="123" t="str">
        <f t="shared" si="41"/>
        <v>0702011004Э020200</v>
      </c>
    </row>
    <row r="1261" spans="1:9" ht="25.5">
      <c r="A1261" s="241" t="s">
        <v>1196</v>
      </c>
      <c r="B1261" s="242" t="s">
        <v>207</v>
      </c>
      <c r="C1261" s="242" t="s">
        <v>395</v>
      </c>
      <c r="D1261" s="242" t="s">
        <v>965</v>
      </c>
      <c r="E1261" s="242" t="s">
        <v>1197</v>
      </c>
      <c r="F1261" s="243">
        <v>11277696.140000001</v>
      </c>
      <c r="G1261" s="243">
        <v>10222461.76</v>
      </c>
      <c r="H1261" s="243">
        <f t="shared" si="40"/>
        <v>90.643174218382512</v>
      </c>
      <c r="I1261" s="123" t="str">
        <f t="shared" si="41"/>
        <v>0702011004Э020240</v>
      </c>
    </row>
    <row r="1262" spans="1:9">
      <c r="A1262" s="241" t="s">
        <v>1699</v>
      </c>
      <c r="B1262" s="242" t="s">
        <v>207</v>
      </c>
      <c r="C1262" s="242" t="s">
        <v>395</v>
      </c>
      <c r="D1262" s="242" t="s">
        <v>965</v>
      </c>
      <c r="E1262" s="242" t="s">
        <v>1700</v>
      </c>
      <c r="F1262" s="243">
        <v>11277696.140000001</v>
      </c>
      <c r="G1262" s="243">
        <v>10222461.76</v>
      </c>
      <c r="H1262" s="243">
        <f t="shared" si="40"/>
        <v>90.643174218382512</v>
      </c>
      <c r="I1262" s="123" t="str">
        <f t="shared" si="41"/>
        <v>0702011004Э020247</v>
      </c>
    </row>
    <row r="1263" spans="1:9" ht="102">
      <c r="A1263" s="241" t="s">
        <v>2094</v>
      </c>
      <c r="B1263" s="242" t="s">
        <v>207</v>
      </c>
      <c r="C1263" s="242" t="s">
        <v>395</v>
      </c>
      <c r="D1263" s="242" t="s">
        <v>2095</v>
      </c>
      <c r="E1263" s="242"/>
      <c r="F1263" s="243">
        <v>44461522.729999997</v>
      </c>
      <c r="G1263" s="243">
        <v>44461522.729999997</v>
      </c>
      <c r="H1263" s="243">
        <f t="shared" si="40"/>
        <v>100</v>
      </c>
      <c r="I1263" s="123" t="str">
        <f t="shared" si="41"/>
        <v>07020110053030</v>
      </c>
    </row>
    <row r="1264" spans="1:9" ht="63.75">
      <c r="A1264" s="241" t="s">
        <v>1318</v>
      </c>
      <c r="B1264" s="242" t="s">
        <v>207</v>
      </c>
      <c r="C1264" s="242" t="s">
        <v>395</v>
      </c>
      <c r="D1264" s="242" t="s">
        <v>2095</v>
      </c>
      <c r="E1264" s="242" t="s">
        <v>273</v>
      </c>
      <c r="F1264" s="243">
        <v>44461522.729999997</v>
      </c>
      <c r="G1264" s="243">
        <v>44461522.729999997</v>
      </c>
      <c r="H1264" s="243">
        <f t="shared" si="40"/>
        <v>100</v>
      </c>
      <c r="I1264" s="123" t="str">
        <f t="shared" si="41"/>
        <v>07020110053030100</v>
      </c>
    </row>
    <row r="1265" spans="1:9">
      <c r="A1265" s="241" t="s">
        <v>1190</v>
      </c>
      <c r="B1265" s="242" t="s">
        <v>207</v>
      </c>
      <c r="C1265" s="242" t="s">
        <v>395</v>
      </c>
      <c r="D1265" s="242" t="s">
        <v>2095</v>
      </c>
      <c r="E1265" s="242" t="s">
        <v>133</v>
      </c>
      <c r="F1265" s="243">
        <v>44461522.729999997</v>
      </c>
      <c r="G1265" s="243">
        <v>44461522.729999997</v>
      </c>
      <c r="H1265" s="243">
        <f t="shared" si="40"/>
        <v>100</v>
      </c>
      <c r="I1265" s="123" t="str">
        <f t="shared" si="41"/>
        <v>07020110053030110</v>
      </c>
    </row>
    <row r="1266" spans="1:9">
      <c r="A1266" s="241" t="s">
        <v>1138</v>
      </c>
      <c r="B1266" s="242" t="s">
        <v>207</v>
      </c>
      <c r="C1266" s="242" t="s">
        <v>395</v>
      </c>
      <c r="D1266" s="242" t="s">
        <v>2095</v>
      </c>
      <c r="E1266" s="242" t="s">
        <v>342</v>
      </c>
      <c r="F1266" s="243">
        <v>34173861.509999998</v>
      </c>
      <c r="G1266" s="243">
        <v>34173861.509999998</v>
      </c>
      <c r="H1266" s="243">
        <f t="shared" si="40"/>
        <v>100</v>
      </c>
      <c r="I1266" s="123" t="str">
        <f t="shared" si="41"/>
        <v>07020110053030111</v>
      </c>
    </row>
    <row r="1267" spans="1:9" ht="38.25">
      <c r="A1267" s="241" t="s">
        <v>1139</v>
      </c>
      <c r="B1267" s="242" t="s">
        <v>207</v>
      </c>
      <c r="C1267" s="242" t="s">
        <v>395</v>
      </c>
      <c r="D1267" s="242" t="s">
        <v>2095</v>
      </c>
      <c r="E1267" s="242" t="s">
        <v>1056</v>
      </c>
      <c r="F1267" s="243">
        <v>10287661.220000001</v>
      </c>
      <c r="G1267" s="243">
        <v>10287661.220000001</v>
      </c>
      <c r="H1267" s="243">
        <f t="shared" si="40"/>
        <v>100</v>
      </c>
      <c r="I1267" s="123" t="str">
        <f t="shared" si="41"/>
        <v>07020110053030119</v>
      </c>
    </row>
    <row r="1268" spans="1:9" ht="242.25">
      <c r="A1268" s="241" t="s">
        <v>1356</v>
      </c>
      <c r="B1268" s="242" t="s">
        <v>207</v>
      </c>
      <c r="C1268" s="242" t="s">
        <v>395</v>
      </c>
      <c r="D1268" s="242" t="s">
        <v>749</v>
      </c>
      <c r="E1268" s="242"/>
      <c r="F1268" s="243">
        <v>106180918</v>
      </c>
      <c r="G1268" s="243">
        <v>105355098.91</v>
      </c>
      <c r="H1268" s="243">
        <f t="shared" si="40"/>
        <v>99.222252825126262</v>
      </c>
      <c r="I1268" s="123" t="str">
        <f t="shared" si="41"/>
        <v>07020110074090</v>
      </c>
    </row>
    <row r="1269" spans="1:9" ht="63.75">
      <c r="A1269" s="241" t="s">
        <v>1318</v>
      </c>
      <c r="B1269" s="242" t="s">
        <v>207</v>
      </c>
      <c r="C1269" s="242" t="s">
        <v>395</v>
      </c>
      <c r="D1269" s="242" t="s">
        <v>749</v>
      </c>
      <c r="E1269" s="242" t="s">
        <v>273</v>
      </c>
      <c r="F1269" s="243">
        <v>93632199.780000001</v>
      </c>
      <c r="G1269" s="243">
        <v>92947170.799999997</v>
      </c>
      <c r="H1269" s="243">
        <f t="shared" si="40"/>
        <v>99.268383118617791</v>
      </c>
      <c r="I1269" s="123" t="str">
        <f t="shared" si="41"/>
        <v>07020110074090100</v>
      </c>
    </row>
    <row r="1270" spans="1:9">
      <c r="A1270" s="241" t="s">
        <v>1190</v>
      </c>
      <c r="B1270" s="242" t="s">
        <v>207</v>
      </c>
      <c r="C1270" s="242" t="s">
        <v>395</v>
      </c>
      <c r="D1270" s="242" t="s">
        <v>749</v>
      </c>
      <c r="E1270" s="242" t="s">
        <v>133</v>
      </c>
      <c r="F1270" s="243">
        <v>93632199.780000001</v>
      </c>
      <c r="G1270" s="243">
        <v>92947170.799999997</v>
      </c>
      <c r="H1270" s="243">
        <f t="shared" si="40"/>
        <v>99.268383118617791</v>
      </c>
      <c r="I1270" s="123" t="str">
        <f t="shared" si="41"/>
        <v>07020110074090110</v>
      </c>
    </row>
    <row r="1271" spans="1:9">
      <c r="A1271" s="241" t="s">
        <v>1138</v>
      </c>
      <c r="B1271" s="242" t="s">
        <v>207</v>
      </c>
      <c r="C1271" s="242" t="s">
        <v>395</v>
      </c>
      <c r="D1271" s="242" t="s">
        <v>749</v>
      </c>
      <c r="E1271" s="242" t="s">
        <v>342</v>
      </c>
      <c r="F1271" s="243">
        <v>71581022.650000006</v>
      </c>
      <c r="G1271" s="243">
        <v>71040781.230000004</v>
      </c>
      <c r="H1271" s="243">
        <f t="shared" si="40"/>
        <v>99.245272839085374</v>
      </c>
      <c r="I1271" s="123" t="str">
        <f t="shared" si="41"/>
        <v>07020110074090111</v>
      </c>
    </row>
    <row r="1272" spans="1:9" ht="25.5">
      <c r="A1272" s="241" t="s">
        <v>1147</v>
      </c>
      <c r="B1272" s="242" t="s">
        <v>207</v>
      </c>
      <c r="C1272" s="242" t="s">
        <v>395</v>
      </c>
      <c r="D1272" s="242" t="s">
        <v>749</v>
      </c>
      <c r="E1272" s="242" t="s">
        <v>391</v>
      </c>
      <c r="F1272" s="243">
        <v>828740.4</v>
      </c>
      <c r="G1272" s="243">
        <v>820059.5</v>
      </c>
      <c r="H1272" s="243">
        <f t="shared" si="40"/>
        <v>98.952518786341287</v>
      </c>
      <c r="I1272" s="123" t="str">
        <f t="shared" si="41"/>
        <v>07020110074090112</v>
      </c>
    </row>
    <row r="1273" spans="1:9" ht="38.25">
      <c r="A1273" s="241" t="s">
        <v>1139</v>
      </c>
      <c r="B1273" s="242" t="s">
        <v>207</v>
      </c>
      <c r="C1273" s="242" t="s">
        <v>395</v>
      </c>
      <c r="D1273" s="242" t="s">
        <v>749</v>
      </c>
      <c r="E1273" s="242" t="s">
        <v>1056</v>
      </c>
      <c r="F1273" s="243">
        <v>21222436.73</v>
      </c>
      <c r="G1273" s="243">
        <v>21086330.07</v>
      </c>
      <c r="H1273" s="243">
        <f t="shared" si="40"/>
        <v>99.358666199684791</v>
      </c>
      <c r="I1273" s="123" t="str">
        <f t="shared" si="41"/>
        <v>07020110074090119</v>
      </c>
    </row>
    <row r="1274" spans="1:9" ht="25.5">
      <c r="A1274" s="241" t="s">
        <v>1319</v>
      </c>
      <c r="B1274" s="242" t="s">
        <v>207</v>
      </c>
      <c r="C1274" s="242" t="s">
        <v>395</v>
      </c>
      <c r="D1274" s="242" t="s">
        <v>749</v>
      </c>
      <c r="E1274" s="242" t="s">
        <v>1320</v>
      </c>
      <c r="F1274" s="243">
        <v>12548718.220000001</v>
      </c>
      <c r="G1274" s="243">
        <v>12407928.109999999</v>
      </c>
      <c r="H1274" s="243">
        <f t="shared" si="40"/>
        <v>98.878051865284448</v>
      </c>
      <c r="I1274" s="123" t="str">
        <f t="shared" si="41"/>
        <v>07020110074090200</v>
      </c>
    </row>
    <row r="1275" spans="1:9" ht="25.5">
      <c r="A1275" s="241" t="s">
        <v>1196</v>
      </c>
      <c r="B1275" s="242" t="s">
        <v>207</v>
      </c>
      <c r="C1275" s="242" t="s">
        <v>395</v>
      </c>
      <c r="D1275" s="242" t="s">
        <v>749</v>
      </c>
      <c r="E1275" s="242" t="s">
        <v>1197</v>
      </c>
      <c r="F1275" s="243">
        <v>12548718.220000001</v>
      </c>
      <c r="G1275" s="243">
        <v>12407928.109999999</v>
      </c>
      <c r="H1275" s="243">
        <f t="shared" si="40"/>
        <v>98.878051865284448</v>
      </c>
      <c r="I1275" s="123" t="str">
        <f t="shared" si="41"/>
        <v>07020110074090240</v>
      </c>
    </row>
    <row r="1276" spans="1:9">
      <c r="A1276" s="241" t="s">
        <v>1223</v>
      </c>
      <c r="B1276" s="242" t="s">
        <v>207</v>
      </c>
      <c r="C1276" s="242" t="s">
        <v>395</v>
      </c>
      <c r="D1276" s="242" t="s">
        <v>749</v>
      </c>
      <c r="E1276" s="242" t="s">
        <v>329</v>
      </c>
      <c r="F1276" s="243">
        <v>12548718.220000001</v>
      </c>
      <c r="G1276" s="243">
        <v>12407928.109999999</v>
      </c>
      <c r="H1276" s="243">
        <f t="shared" si="40"/>
        <v>98.878051865284448</v>
      </c>
      <c r="I1276" s="123" t="str">
        <f t="shared" si="41"/>
        <v>07020110074090244</v>
      </c>
    </row>
    <row r="1277" spans="1:9" ht="242.25">
      <c r="A1277" s="241" t="s">
        <v>1357</v>
      </c>
      <c r="B1277" s="242" t="s">
        <v>207</v>
      </c>
      <c r="C1277" s="242" t="s">
        <v>395</v>
      </c>
      <c r="D1277" s="242" t="s">
        <v>747</v>
      </c>
      <c r="E1277" s="242"/>
      <c r="F1277" s="243">
        <v>418926813.88</v>
      </c>
      <c r="G1277" s="243">
        <v>416512021.37</v>
      </c>
      <c r="H1277" s="243">
        <f t="shared" si="40"/>
        <v>99.423576522200918</v>
      </c>
      <c r="I1277" s="123" t="str">
        <f t="shared" si="41"/>
        <v>07020110075640</v>
      </c>
    </row>
    <row r="1278" spans="1:9" ht="63.75">
      <c r="A1278" s="241" t="s">
        <v>1318</v>
      </c>
      <c r="B1278" s="242" t="s">
        <v>207</v>
      </c>
      <c r="C1278" s="242" t="s">
        <v>395</v>
      </c>
      <c r="D1278" s="242" t="s">
        <v>747</v>
      </c>
      <c r="E1278" s="242" t="s">
        <v>273</v>
      </c>
      <c r="F1278" s="243">
        <v>390634265.68000001</v>
      </c>
      <c r="G1278" s="243">
        <v>388525115.13999999</v>
      </c>
      <c r="H1278" s="243">
        <f t="shared" si="40"/>
        <v>99.460070268969233</v>
      </c>
      <c r="I1278" s="123" t="str">
        <f t="shared" si="41"/>
        <v>07020110075640100</v>
      </c>
    </row>
    <row r="1279" spans="1:9">
      <c r="A1279" s="241" t="s">
        <v>1190</v>
      </c>
      <c r="B1279" s="242" t="s">
        <v>207</v>
      </c>
      <c r="C1279" s="242" t="s">
        <v>395</v>
      </c>
      <c r="D1279" s="242" t="s">
        <v>747</v>
      </c>
      <c r="E1279" s="242" t="s">
        <v>133</v>
      </c>
      <c r="F1279" s="243">
        <v>390634265.68000001</v>
      </c>
      <c r="G1279" s="243">
        <v>388525115.13999999</v>
      </c>
      <c r="H1279" s="243">
        <f t="shared" si="40"/>
        <v>99.460070268969233</v>
      </c>
      <c r="I1279" s="123" t="str">
        <f t="shared" si="41"/>
        <v>07020110075640110</v>
      </c>
    </row>
    <row r="1280" spans="1:9">
      <c r="A1280" s="241" t="s">
        <v>1138</v>
      </c>
      <c r="B1280" s="242" t="s">
        <v>207</v>
      </c>
      <c r="C1280" s="242" t="s">
        <v>395</v>
      </c>
      <c r="D1280" s="242" t="s">
        <v>747</v>
      </c>
      <c r="E1280" s="242" t="s">
        <v>342</v>
      </c>
      <c r="F1280" s="243">
        <v>299057032.89999998</v>
      </c>
      <c r="G1280" s="243">
        <v>297598513.74000001</v>
      </c>
      <c r="H1280" s="243">
        <f t="shared" si="40"/>
        <v>99.512293977554549</v>
      </c>
      <c r="I1280" s="123" t="str">
        <f t="shared" si="41"/>
        <v>07020110075640111</v>
      </c>
    </row>
    <row r="1281" spans="1:9" ht="25.5">
      <c r="A1281" s="241" t="s">
        <v>1147</v>
      </c>
      <c r="B1281" s="242" t="s">
        <v>207</v>
      </c>
      <c r="C1281" s="242" t="s">
        <v>395</v>
      </c>
      <c r="D1281" s="242" t="s">
        <v>747</v>
      </c>
      <c r="E1281" s="242" t="s">
        <v>391</v>
      </c>
      <c r="F1281" s="243">
        <v>2496183.0699999998</v>
      </c>
      <c r="G1281" s="243">
        <v>2320668.77</v>
      </c>
      <c r="H1281" s="243">
        <f t="shared" si="40"/>
        <v>92.968692797039125</v>
      </c>
      <c r="I1281" s="123" t="str">
        <f t="shared" si="41"/>
        <v>07020110075640112</v>
      </c>
    </row>
    <row r="1282" spans="1:9">
      <c r="A1282" s="241" t="s">
        <v>1963</v>
      </c>
      <c r="B1282" s="242" t="s">
        <v>207</v>
      </c>
      <c r="C1282" s="242" t="s">
        <v>395</v>
      </c>
      <c r="D1282" s="242" t="s">
        <v>747</v>
      </c>
      <c r="E1282" s="242" t="s">
        <v>1059</v>
      </c>
      <c r="F1282" s="243">
        <v>7680</v>
      </c>
      <c r="G1282" s="243">
        <v>0</v>
      </c>
      <c r="H1282" s="243">
        <f t="shared" si="40"/>
        <v>0</v>
      </c>
      <c r="I1282" s="123" t="str">
        <f t="shared" si="41"/>
        <v>07020110075640113</v>
      </c>
    </row>
    <row r="1283" spans="1:9" ht="38.25">
      <c r="A1283" s="241" t="s">
        <v>1139</v>
      </c>
      <c r="B1283" s="242" t="s">
        <v>207</v>
      </c>
      <c r="C1283" s="242" t="s">
        <v>395</v>
      </c>
      <c r="D1283" s="242" t="s">
        <v>747</v>
      </c>
      <c r="E1283" s="242" t="s">
        <v>1056</v>
      </c>
      <c r="F1283" s="243">
        <v>89073369.709999993</v>
      </c>
      <c r="G1283" s="243">
        <v>88605932.629999995</v>
      </c>
      <c r="H1283" s="243">
        <f t="shared" si="40"/>
        <v>99.475222413251174</v>
      </c>
      <c r="I1283" s="123" t="str">
        <f t="shared" si="41"/>
        <v>07020110075640119</v>
      </c>
    </row>
    <row r="1284" spans="1:9" ht="25.5">
      <c r="A1284" s="241" t="s">
        <v>1319</v>
      </c>
      <c r="B1284" s="242" t="s">
        <v>207</v>
      </c>
      <c r="C1284" s="242" t="s">
        <v>395</v>
      </c>
      <c r="D1284" s="242" t="s">
        <v>747</v>
      </c>
      <c r="E1284" s="242" t="s">
        <v>1320</v>
      </c>
      <c r="F1284" s="243">
        <v>28292548.199999999</v>
      </c>
      <c r="G1284" s="243">
        <v>27986906.23</v>
      </c>
      <c r="H1284" s="243">
        <f t="shared" si="40"/>
        <v>98.91970858248817</v>
      </c>
      <c r="I1284" s="123" t="str">
        <f t="shared" si="41"/>
        <v>07020110075640200</v>
      </c>
    </row>
    <row r="1285" spans="1:9" ht="25.5">
      <c r="A1285" s="241" t="s">
        <v>1196</v>
      </c>
      <c r="B1285" s="242" t="s">
        <v>207</v>
      </c>
      <c r="C1285" s="242" t="s">
        <v>395</v>
      </c>
      <c r="D1285" s="242" t="s">
        <v>747</v>
      </c>
      <c r="E1285" s="242" t="s">
        <v>1197</v>
      </c>
      <c r="F1285" s="243">
        <v>28292548.199999999</v>
      </c>
      <c r="G1285" s="243">
        <v>27986906.23</v>
      </c>
      <c r="H1285" s="243">
        <f t="shared" ref="H1285:H1346" si="42">G1285/F1285*100</f>
        <v>98.91970858248817</v>
      </c>
      <c r="I1285" s="123" t="str">
        <f t="shared" si="41"/>
        <v>07020110075640240</v>
      </c>
    </row>
    <row r="1286" spans="1:9">
      <c r="A1286" s="241" t="s">
        <v>1223</v>
      </c>
      <c r="B1286" s="242" t="s">
        <v>207</v>
      </c>
      <c r="C1286" s="242" t="s">
        <v>395</v>
      </c>
      <c r="D1286" s="242" t="s">
        <v>747</v>
      </c>
      <c r="E1286" s="242" t="s">
        <v>329</v>
      </c>
      <c r="F1286" s="243">
        <v>28292548.199999999</v>
      </c>
      <c r="G1286" s="243">
        <v>27986906.23</v>
      </c>
      <c r="H1286" s="243">
        <f t="shared" si="42"/>
        <v>98.91970858248817</v>
      </c>
      <c r="I1286" s="123" t="str">
        <f t="shared" si="41"/>
        <v>07020110075640244</v>
      </c>
    </row>
    <row r="1287" spans="1:9" ht="63.75">
      <c r="A1287" s="241" t="s">
        <v>2149</v>
      </c>
      <c r="B1287" s="242" t="s">
        <v>207</v>
      </c>
      <c r="C1287" s="242" t="s">
        <v>395</v>
      </c>
      <c r="D1287" s="242" t="s">
        <v>2150</v>
      </c>
      <c r="E1287" s="242"/>
      <c r="F1287" s="243">
        <v>2338042</v>
      </c>
      <c r="G1287" s="243">
        <v>2338042</v>
      </c>
      <c r="H1287" s="243">
        <f t="shared" si="42"/>
        <v>100</v>
      </c>
      <c r="I1287" s="123" t="str">
        <f t="shared" si="41"/>
        <v>07020110077450</v>
      </c>
    </row>
    <row r="1288" spans="1:9" ht="25.5">
      <c r="A1288" s="241" t="s">
        <v>1319</v>
      </c>
      <c r="B1288" s="242" t="s">
        <v>207</v>
      </c>
      <c r="C1288" s="242" t="s">
        <v>395</v>
      </c>
      <c r="D1288" s="242" t="s">
        <v>2150</v>
      </c>
      <c r="E1288" s="242" t="s">
        <v>1320</v>
      </c>
      <c r="F1288" s="243">
        <v>2338042</v>
      </c>
      <c r="G1288" s="243">
        <v>2338042</v>
      </c>
      <c r="H1288" s="243">
        <f t="shared" si="42"/>
        <v>100</v>
      </c>
      <c r="I1288" s="123" t="str">
        <f t="shared" si="41"/>
        <v>07020110077450200</v>
      </c>
    </row>
    <row r="1289" spans="1:9" ht="25.5">
      <c r="A1289" s="241" t="s">
        <v>1196</v>
      </c>
      <c r="B1289" s="242" t="s">
        <v>207</v>
      </c>
      <c r="C1289" s="242" t="s">
        <v>395</v>
      </c>
      <c r="D1289" s="242" t="s">
        <v>2150</v>
      </c>
      <c r="E1289" s="242" t="s">
        <v>1197</v>
      </c>
      <c r="F1289" s="243">
        <v>2338042</v>
      </c>
      <c r="G1289" s="243">
        <v>2338042</v>
      </c>
      <c r="H1289" s="243">
        <f t="shared" si="42"/>
        <v>100</v>
      </c>
      <c r="I1289" s="123" t="str">
        <f t="shared" si="41"/>
        <v>07020110077450240</v>
      </c>
    </row>
    <row r="1290" spans="1:9">
      <c r="A1290" s="241" t="s">
        <v>1223</v>
      </c>
      <c r="B1290" s="242" t="s">
        <v>207</v>
      </c>
      <c r="C1290" s="242" t="s">
        <v>395</v>
      </c>
      <c r="D1290" s="242" t="s">
        <v>2150</v>
      </c>
      <c r="E1290" s="242" t="s">
        <v>329</v>
      </c>
      <c r="F1290" s="243">
        <v>2338042</v>
      </c>
      <c r="G1290" s="243">
        <v>2338042</v>
      </c>
      <c r="H1290" s="243">
        <f t="shared" si="42"/>
        <v>100</v>
      </c>
      <c r="I1290" s="123" t="str">
        <f t="shared" si="41"/>
        <v>07020110077450244</v>
      </c>
    </row>
    <row r="1291" spans="1:9" ht="63.75">
      <c r="A1291" s="241" t="s">
        <v>411</v>
      </c>
      <c r="B1291" s="242" t="s">
        <v>207</v>
      </c>
      <c r="C1291" s="242" t="s">
        <v>395</v>
      </c>
      <c r="D1291" s="242" t="s">
        <v>761</v>
      </c>
      <c r="E1291" s="242"/>
      <c r="F1291" s="243">
        <v>664419</v>
      </c>
      <c r="G1291" s="243">
        <v>571751.5</v>
      </c>
      <c r="H1291" s="243">
        <f t="shared" si="42"/>
        <v>86.052852191162501</v>
      </c>
      <c r="I1291" s="123" t="str">
        <f t="shared" si="41"/>
        <v>07020110080020</v>
      </c>
    </row>
    <row r="1292" spans="1:9" ht="25.5">
      <c r="A1292" s="241" t="s">
        <v>1319</v>
      </c>
      <c r="B1292" s="242" t="s">
        <v>207</v>
      </c>
      <c r="C1292" s="242" t="s">
        <v>395</v>
      </c>
      <c r="D1292" s="242" t="s">
        <v>761</v>
      </c>
      <c r="E1292" s="242" t="s">
        <v>1320</v>
      </c>
      <c r="F1292" s="243">
        <v>584419</v>
      </c>
      <c r="G1292" s="243">
        <v>491751.5</v>
      </c>
      <c r="H1292" s="243">
        <f t="shared" si="42"/>
        <v>84.143653782645671</v>
      </c>
      <c r="I1292" s="123" t="str">
        <f t="shared" si="41"/>
        <v>07020110080020200</v>
      </c>
    </row>
    <row r="1293" spans="1:9" ht="25.5">
      <c r="A1293" s="241" t="s">
        <v>1196</v>
      </c>
      <c r="B1293" s="242" t="s">
        <v>207</v>
      </c>
      <c r="C1293" s="242" t="s">
        <v>395</v>
      </c>
      <c r="D1293" s="242" t="s">
        <v>761</v>
      </c>
      <c r="E1293" s="242" t="s">
        <v>1197</v>
      </c>
      <c r="F1293" s="243">
        <v>584419</v>
      </c>
      <c r="G1293" s="243">
        <v>491751.5</v>
      </c>
      <c r="H1293" s="243">
        <f t="shared" si="42"/>
        <v>84.143653782645671</v>
      </c>
      <c r="I1293" s="123" t="str">
        <f t="shared" si="41"/>
        <v>07020110080020240</v>
      </c>
    </row>
    <row r="1294" spans="1:9">
      <c r="A1294" s="241" t="s">
        <v>1223</v>
      </c>
      <c r="B1294" s="242" t="s">
        <v>207</v>
      </c>
      <c r="C1294" s="242" t="s">
        <v>395</v>
      </c>
      <c r="D1294" s="242" t="s">
        <v>761</v>
      </c>
      <c r="E1294" s="242" t="s">
        <v>329</v>
      </c>
      <c r="F1294" s="243">
        <v>584419</v>
      </c>
      <c r="G1294" s="243">
        <v>491751.5</v>
      </c>
      <c r="H1294" s="243">
        <f t="shared" si="42"/>
        <v>84.143653782645671</v>
      </c>
      <c r="I1294" s="123" t="str">
        <f t="shared" si="41"/>
        <v>07020110080020244</v>
      </c>
    </row>
    <row r="1295" spans="1:9">
      <c r="A1295" s="241" t="s">
        <v>1323</v>
      </c>
      <c r="B1295" s="242" t="s">
        <v>207</v>
      </c>
      <c r="C1295" s="242" t="s">
        <v>395</v>
      </c>
      <c r="D1295" s="242" t="s">
        <v>761</v>
      </c>
      <c r="E1295" s="242" t="s">
        <v>1324</v>
      </c>
      <c r="F1295" s="243">
        <v>80000</v>
      </c>
      <c r="G1295" s="243">
        <v>80000</v>
      </c>
      <c r="H1295" s="243">
        <f t="shared" si="42"/>
        <v>100</v>
      </c>
      <c r="I1295" s="123" t="str">
        <f t="shared" si="41"/>
        <v>07020110080020300</v>
      </c>
    </row>
    <row r="1296" spans="1:9">
      <c r="A1296" s="241" t="s">
        <v>531</v>
      </c>
      <c r="B1296" s="242" t="s">
        <v>207</v>
      </c>
      <c r="C1296" s="242" t="s">
        <v>395</v>
      </c>
      <c r="D1296" s="242" t="s">
        <v>761</v>
      </c>
      <c r="E1296" s="242" t="s">
        <v>532</v>
      </c>
      <c r="F1296" s="243">
        <v>80000</v>
      </c>
      <c r="G1296" s="243">
        <v>80000</v>
      </c>
      <c r="H1296" s="243">
        <f t="shared" si="42"/>
        <v>100</v>
      </c>
      <c r="I1296" s="123" t="str">
        <f t="shared" si="41"/>
        <v>07020110080020360</v>
      </c>
    </row>
    <row r="1297" spans="1:9" ht="63.75">
      <c r="A1297" s="241" t="s">
        <v>533</v>
      </c>
      <c r="B1297" s="242" t="s">
        <v>207</v>
      </c>
      <c r="C1297" s="242" t="s">
        <v>395</v>
      </c>
      <c r="D1297" s="242" t="s">
        <v>764</v>
      </c>
      <c r="E1297" s="242"/>
      <c r="F1297" s="243">
        <v>187200</v>
      </c>
      <c r="G1297" s="243">
        <v>187200</v>
      </c>
      <c r="H1297" s="243">
        <f t="shared" si="42"/>
        <v>100</v>
      </c>
      <c r="I1297" s="123" t="str">
        <f t="shared" si="41"/>
        <v>07020110080040</v>
      </c>
    </row>
    <row r="1298" spans="1:9">
      <c r="A1298" s="241" t="s">
        <v>1323</v>
      </c>
      <c r="B1298" s="242" t="s">
        <v>207</v>
      </c>
      <c r="C1298" s="242" t="s">
        <v>395</v>
      </c>
      <c r="D1298" s="242" t="s">
        <v>764</v>
      </c>
      <c r="E1298" s="242" t="s">
        <v>1324</v>
      </c>
      <c r="F1298" s="243">
        <v>187200</v>
      </c>
      <c r="G1298" s="243">
        <v>187200</v>
      </c>
      <c r="H1298" s="243">
        <f t="shared" si="42"/>
        <v>100</v>
      </c>
      <c r="I1298" s="123" t="str">
        <f t="shared" si="41"/>
        <v>07020110080040300</v>
      </c>
    </row>
    <row r="1299" spans="1:9">
      <c r="A1299" s="241" t="s">
        <v>1811</v>
      </c>
      <c r="B1299" s="242" t="s">
        <v>207</v>
      </c>
      <c r="C1299" s="242" t="s">
        <v>395</v>
      </c>
      <c r="D1299" s="242" t="s">
        <v>764</v>
      </c>
      <c r="E1299" s="242" t="s">
        <v>1812</v>
      </c>
      <c r="F1299" s="243">
        <v>187200</v>
      </c>
      <c r="G1299" s="243">
        <v>187200</v>
      </c>
      <c r="H1299" s="243">
        <f t="shared" si="42"/>
        <v>100</v>
      </c>
      <c r="I1299" s="123" t="str">
        <f t="shared" si="41"/>
        <v>07020110080040340</v>
      </c>
    </row>
    <row r="1300" spans="1:9" ht="89.25">
      <c r="A1300" s="241" t="s">
        <v>2169</v>
      </c>
      <c r="B1300" s="242" t="s">
        <v>207</v>
      </c>
      <c r="C1300" s="242" t="s">
        <v>395</v>
      </c>
      <c r="D1300" s="242" t="s">
        <v>696</v>
      </c>
      <c r="E1300" s="242"/>
      <c r="F1300" s="243">
        <v>13078031</v>
      </c>
      <c r="G1300" s="243">
        <v>13077860.800000001</v>
      </c>
      <c r="H1300" s="243">
        <f t="shared" si="42"/>
        <v>99.998698580849066</v>
      </c>
      <c r="I1300" s="123" t="str">
        <f t="shared" si="41"/>
        <v>07020110083010</v>
      </c>
    </row>
    <row r="1301" spans="1:9" ht="25.5">
      <c r="A1301" s="241" t="s">
        <v>1319</v>
      </c>
      <c r="B1301" s="242" t="s">
        <v>207</v>
      </c>
      <c r="C1301" s="242" t="s">
        <v>395</v>
      </c>
      <c r="D1301" s="242" t="s">
        <v>696</v>
      </c>
      <c r="E1301" s="242" t="s">
        <v>1320</v>
      </c>
      <c r="F1301" s="243">
        <v>13078031</v>
      </c>
      <c r="G1301" s="243">
        <v>13077860.800000001</v>
      </c>
      <c r="H1301" s="243">
        <f t="shared" si="42"/>
        <v>99.998698580849066</v>
      </c>
      <c r="I1301" s="123" t="str">
        <f t="shared" si="41"/>
        <v>07020110083010200</v>
      </c>
    </row>
    <row r="1302" spans="1:9" ht="25.5">
      <c r="A1302" s="241" t="s">
        <v>1196</v>
      </c>
      <c r="B1302" s="242" t="s">
        <v>207</v>
      </c>
      <c r="C1302" s="242" t="s">
        <v>395</v>
      </c>
      <c r="D1302" s="242" t="s">
        <v>696</v>
      </c>
      <c r="E1302" s="242" t="s">
        <v>1197</v>
      </c>
      <c r="F1302" s="243">
        <v>13078031</v>
      </c>
      <c r="G1302" s="243">
        <v>13077860.800000001</v>
      </c>
      <c r="H1302" s="243">
        <f t="shared" si="42"/>
        <v>99.998698580849066</v>
      </c>
      <c r="I1302" s="123" t="str">
        <f t="shared" si="41"/>
        <v>07020110083010240</v>
      </c>
    </row>
    <row r="1303" spans="1:9">
      <c r="A1303" s="241" t="s">
        <v>1223</v>
      </c>
      <c r="B1303" s="242" t="s">
        <v>207</v>
      </c>
      <c r="C1303" s="242" t="s">
        <v>395</v>
      </c>
      <c r="D1303" s="242" t="s">
        <v>696</v>
      </c>
      <c r="E1303" s="242" t="s">
        <v>329</v>
      </c>
      <c r="F1303" s="243">
        <v>13078031</v>
      </c>
      <c r="G1303" s="243">
        <v>13077860.800000001</v>
      </c>
      <c r="H1303" s="243">
        <f t="shared" si="42"/>
        <v>99.998698580849066</v>
      </c>
      <c r="I1303" s="123" t="str">
        <f t="shared" si="41"/>
        <v>07020110083010244</v>
      </c>
    </row>
    <row r="1304" spans="1:9" ht="63.75">
      <c r="A1304" s="241" t="s">
        <v>584</v>
      </c>
      <c r="B1304" s="242" t="s">
        <v>207</v>
      </c>
      <c r="C1304" s="242" t="s">
        <v>395</v>
      </c>
      <c r="D1304" s="242" t="s">
        <v>763</v>
      </c>
      <c r="E1304" s="242"/>
      <c r="F1304" s="243">
        <v>40551</v>
      </c>
      <c r="G1304" s="243">
        <v>40551</v>
      </c>
      <c r="H1304" s="243">
        <f t="shared" si="42"/>
        <v>100</v>
      </c>
      <c r="I1304" s="123" t="str">
        <f t="shared" si="41"/>
        <v>0702011008П020</v>
      </c>
    </row>
    <row r="1305" spans="1:9" ht="25.5">
      <c r="A1305" s="241" t="s">
        <v>1319</v>
      </c>
      <c r="B1305" s="242" t="s">
        <v>207</v>
      </c>
      <c r="C1305" s="242" t="s">
        <v>395</v>
      </c>
      <c r="D1305" s="242" t="s">
        <v>763</v>
      </c>
      <c r="E1305" s="242" t="s">
        <v>1320</v>
      </c>
      <c r="F1305" s="243">
        <v>40551</v>
      </c>
      <c r="G1305" s="243">
        <v>40551</v>
      </c>
      <c r="H1305" s="243">
        <f t="shared" si="42"/>
        <v>100</v>
      </c>
      <c r="I1305" s="123" t="str">
        <f t="shared" si="41"/>
        <v>0702011008П020200</v>
      </c>
    </row>
    <row r="1306" spans="1:9" ht="25.5">
      <c r="A1306" s="241" t="s">
        <v>1196</v>
      </c>
      <c r="B1306" s="242" t="s">
        <v>207</v>
      </c>
      <c r="C1306" s="242" t="s">
        <v>395</v>
      </c>
      <c r="D1306" s="242" t="s">
        <v>763</v>
      </c>
      <c r="E1306" s="242" t="s">
        <v>1197</v>
      </c>
      <c r="F1306" s="243">
        <v>40551</v>
      </c>
      <c r="G1306" s="243">
        <v>40551</v>
      </c>
      <c r="H1306" s="243">
        <f t="shared" si="42"/>
        <v>100</v>
      </c>
      <c r="I1306" s="123" t="str">
        <f t="shared" si="41"/>
        <v>0702011008П020240</v>
      </c>
    </row>
    <row r="1307" spans="1:9">
      <c r="A1307" s="241" t="s">
        <v>1223</v>
      </c>
      <c r="B1307" s="242" t="s">
        <v>207</v>
      </c>
      <c r="C1307" s="242" t="s">
        <v>395</v>
      </c>
      <c r="D1307" s="242" t="s">
        <v>763</v>
      </c>
      <c r="E1307" s="242" t="s">
        <v>329</v>
      </c>
      <c r="F1307" s="243">
        <v>40551</v>
      </c>
      <c r="G1307" s="243">
        <v>40551</v>
      </c>
      <c r="H1307" s="243">
        <f t="shared" si="42"/>
        <v>100</v>
      </c>
      <c r="I1307" s="123" t="str">
        <f t="shared" si="41"/>
        <v>0702011008П020244</v>
      </c>
    </row>
    <row r="1308" spans="1:9" ht="76.5">
      <c r="A1308" s="241" t="s">
        <v>2096</v>
      </c>
      <c r="B1308" s="242" t="s">
        <v>207</v>
      </c>
      <c r="C1308" s="242" t="s">
        <v>395</v>
      </c>
      <c r="D1308" s="242" t="s">
        <v>2097</v>
      </c>
      <c r="E1308" s="242"/>
      <c r="F1308" s="243">
        <v>4400</v>
      </c>
      <c r="G1308" s="243">
        <v>4400</v>
      </c>
      <c r="H1308" s="243">
        <f t="shared" si="42"/>
        <v>100</v>
      </c>
      <c r="I1308" s="123" t="str">
        <f t="shared" si="41"/>
        <v>0702011008Ф020</v>
      </c>
    </row>
    <row r="1309" spans="1:9" ht="25.5">
      <c r="A1309" s="241" t="s">
        <v>1319</v>
      </c>
      <c r="B1309" s="242" t="s">
        <v>207</v>
      </c>
      <c r="C1309" s="242" t="s">
        <v>395</v>
      </c>
      <c r="D1309" s="242" t="s">
        <v>2097</v>
      </c>
      <c r="E1309" s="242" t="s">
        <v>1320</v>
      </c>
      <c r="F1309" s="243">
        <v>4400</v>
      </c>
      <c r="G1309" s="243">
        <v>4400</v>
      </c>
      <c r="H1309" s="243">
        <f t="shared" si="42"/>
        <v>100</v>
      </c>
      <c r="I1309" s="123" t="str">
        <f t="shared" si="41"/>
        <v>0702011008Ф020200</v>
      </c>
    </row>
    <row r="1310" spans="1:9" ht="25.5">
      <c r="A1310" s="241" t="s">
        <v>1196</v>
      </c>
      <c r="B1310" s="242" t="s">
        <v>207</v>
      </c>
      <c r="C1310" s="242" t="s">
        <v>395</v>
      </c>
      <c r="D1310" s="242" t="s">
        <v>2097</v>
      </c>
      <c r="E1310" s="242" t="s">
        <v>1197</v>
      </c>
      <c r="F1310" s="243">
        <v>4400</v>
      </c>
      <c r="G1310" s="243">
        <v>4400</v>
      </c>
      <c r="H1310" s="243">
        <f t="shared" si="42"/>
        <v>100</v>
      </c>
      <c r="I1310" s="123" t="str">
        <f t="shared" si="41"/>
        <v>0702011008Ф020240</v>
      </c>
    </row>
    <row r="1311" spans="1:9">
      <c r="A1311" s="241" t="s">
        <v>1223</v>
      </c>
      <c r="B1311" s="242" t="s">
        <v>207</v>
      </c>
      <c r="C1311" s="242" t="s">
        <v>395</v>
      </c>
      <c r="D1311" s="242" t="s">
        <v>2097</v>
      </c>
      <c r="E1311" s="242" t="s">
        <v>329</v>
      </c>
      <c r="F1311" s="243">
        <v>4400</v>
      </c>
      <c r="G1311" s="243">
        <v>4400</v>
      </c>
      <c r="H1311" s="243">
        <f t="shared" si="42"/>
        <v>100</v>
      </c>
      <c r="I1311" s="123" t="str">
        <f t="shared" si="41"/>
        <v>0702011008Ф020244</v>
      </c>
    </row>
    <row r="1312" spans="1:9" ht="76.5">
      <c r="A1312" s="241" t="s">
        <v>2175</v>
      </c>
      <c r="B1312" s="242" t="s">
        <v>207</v>
      </c>
      <c r="C1312" s="242" t="s">
        <v>395</v>
      </c>
      <c r="D1312" s="242" t="s">
        <v>2208</v>
      </c>
      <c r="E1312" s="242"/>
      <c r="F1312" s="243">
        <v>4864110.97</v>
      </c>
      <c r="G1312" s="243">
        <v>3028367.95</v>
      </c>
      <c r="H1312" s="243">
        <f t="shared" si="42"/>
        <v>62.259433813863019</v>
      </c>
      <c r="I1312" s="123" t="str">
        <f t="shared" si="41"/>
        <v>070201100S5590</v>
      </c>
    </row>
    <row r="1313" spans="1:9" ht="25.5">
      <c r="A1313" s="241" t="s">
        <v>1319</v>
      </c>
      <c r="B1313" s="242" t="s">
        <v>207</v>
      </c>
      <c r="C1313" s="242" t="s">
        <v>395</v>
      </c>
      <c r="D1313" s="242" t="s">
        <v>2208</v>
      </c>
      <c r="E1313" s="242" t="s">
        <v>1320</v>
      </c>
      <c r="F1313" s="243">
        <v>4864110.97</v>
      </c>
      <c r="G1313" s="243">
        <v>3028367.95</v>
      </c>
      <c r="H1313" s="243">
        <f t="shared" si="42"/>
        <v>62.259433813863019</v>
      </c>
      <c r="I1313" s="123" t="str">
        <f t="shared" si="41"/>
        <v>070201100S5590200</v>
      </c>
    </row>
    <row r="1314" spans="1:9" ht="25.5">
      <c r="A1314" s="241" t="s">
        <v>1196</v>
      </c>
      <c r="B1314" s="242" t="s">
        <v>207</v>
      </c>
      <c r="C1314" s="242" t="s">
        <v>395</v>
      </c>
      <c r="D1314" s="242" t="s">
        <v>2208</v>
      </c>
      <c r="E1314" s="242" t="s">
        <v>1197</v>
      </c>
      <c r="F1314" s="243">
        <v>4864110.97</v>
      </c>
      <c r="G1314" s="243">
        <v>3028367.95</v>
      </c>
      <c r="H1314" s="243">
        <f t="shared" si="42"/>
        <v>62.259433813863019</v>
      </c>
      <c r="I1314" s="123" t="str">
        <f t="shared" si="41"/>
        <v>070201100S5590240</v>
      </c>
    </row>
    <row r="1315" spans="1:9">
      <c r="A1315" s="241" t="s">
        <v>1223</v>
      </c>
      <c r="B1315" s="242" t="s">
        <v>207</v>
      </c>
      <c r="C1315" s="242" t="s">
        <v>395</v>
      </c>
      <c r="D1315" s="242" t="s">
        <v>2208</v>
      </c>
      <c r="E1315" s="242" t="s">
        <v>329</v>
      </c>
      <c r="F1315" s="243">
        <v>4864110.97</v>
      </c>
      <c r="G1315" s="243">
        <v>3028367.95</v>
      </c>
      <c r="H1315" s="243">
        <f t="shared" si="42"/>
        <v>62.259433813863019</v>
      </c>
      <c r="I1315" s="123" t="str">
        <f t="shared" si="41"/>
        <v>070201100S5590244</v>
      </c>
    </row>
    <row r="1316" spans="1:9" ht="76.5">
      <c r="A1316" s="241" t="s">
        <v>1813</v>
      </c>
      <c r="B1316" s="242" t="s">
        <v>207</v>
      </c>
      <c r="C1316" s="242" t="s">
        <v>395</v>
      </c>
      <c r="D1316" s="242" t="s">
        <v>1358</v>
      </c>
      <c r="E1316" s="242"/>
      <c r="F1316" s="243">
        <v>9650000</v>
      </c>
      <c r="G1316" s="243">
        <v>9650000</v>
      </c>
      <c r="H1316" s="243">
        <f t="shared" si="42"/>
        <v>100</v>
      </c>
      <c r="I1316" s="123" t="str">
        <f t="shared" ref="I1316:I1379" si="43">CONCATENATE(C1316,D1316,E1316)</f>
        <v>070201100S5630</v>
      </c>
    </row>
    <row r="1317" spans="1:9" ht="25.5">
      <c r="A1317" s="241" t="s">
        <v>1319</v>
      </c>
      <c r="B1317" s="242" t="s">
        <v>207</v>
      </c>
      <c r="C1317" s="242" t="s">
        <v>395</v>
      </c>
      <c r="D1317" s="242" t="s">
        <v>1358</v>
      </c>
      <c r="E1317" s="242" t="s">
        <v>1320</v>
      </c>
      <c r="F1317" s="243">
        <v>9650000</v>
      </c>
      <c r="G1317" s="243">
        <v>9650000</v>
      </c>
      <c r="H1317" s="243">
        <f t="shared" si="42"/>
        <v>100</v>
      </c>
      <c r="I1317" s="123" t="str">
        <f t="shared" si="43"/>
        <v>070201100S5630200</v>
      </c>
    </row>
    <row r="1318" spans="1:9" ht="25.5">
      <c r="A1318" s="241" t="s">
        <v>1196</v>
      </c>
      <c r="B1318" s="242" t="s">
        <v>207</v>
      </c>
      <c r="C1318" s="242" t="s">
        <v>395</v>
      </c>
      <c r="D1318" s="242" t="s">
        <v>1358</v>
      </c>
      <c r="E1318" s="242" t="s">
        <v>1197</v>
      </c>
      <c r="F1318" s="243">
        <v>9650000</v>
      </c>
      <c r="G1318" s="243">
        <v>9650000</v>
      </c>
      <c r="H1318" s="243">
        <f t="shared" si="42"/>
        <v>100</v>
      </c>
      <c r="I1318" s="123" t="str">
        <f t="shared" si="43"/>
        <v>070201100S5630240</v>
      </c>
    </row>
    <row r="1319" spans="1:9">
      <c r="A1319" s="241" t="s">
        <v>1223</v>
      </c>
      <c r="B1319" s="242" t="s">
        <v>207</v>
      </c>
      <c r="C1319" s="242" t="s">
        <v>395</v>
      </c>
      <c r="D1319" s="242" t="s">
        <v>1358</v>
      </c>
      <c r="E1319" s="242" t="s">
        <v>329</v>
      </c>
      <c r="F1319" s="243">
        <v>9650000</v>
      </c>
      <c r="G1319" s="243">
        <v>9650000</v>
      </c>
      <c r="H1319" s="243">
        <f t="shared" si="42"/>
        <v>100</v>
      </c>
      <c r="I1319" s="123" t="str">
        <f t="shared" si="43"/>
        <v>070201100S5630244</v>
      </c>
    </row>
    <row r="1320" spans="1:9" ht="102">
      <c r="A1320" s="241" t="s">
        <v>1771</v>
      </c>
      <c r="B1320" s="242" t="s">
        <v>207</v>
      </c>
      <c r="C1320" s="242" t="s">
        <v>395</v>
      </c>
      <c r="D1320" s="242" t="s">
        <v>1359</v>
      </c>
      <c r="E1320" s="242"/>
      <c r="F1320" s="243">
        <v>2730000</v>
      </c>
      <c r="G1320" s="243">
        <v>2730000</v>
      </c>
      <c r="H1320" s="243">
        <f t="shared" si="42"/>
        <v>100</v>
      </c>
      <c r="I1320" s="123" t="str">
        <f t="shared" si="43"/>
        <v>070201100S5980</v>
      </c>
    </row>
    <row r="1321" spans="1:9" ht="25.5">
      <c r="A1321" s="241" t="s">
        <v>1319</v>
      </c>
      <c r="B1321" s="242" t="s">
        <v>207</v>
      </c>
      <c r="C1321" s="242" t="s">
        <v>395</v>
      </c>
      <c r="D1321" s="242" t="s">
        <v>1359</v>
      </c>
      <c r="E1321" s="242" t="s">
        <v>1320</v>
      </c>
      <c r="F1321" s="243">
        <v>2730000</v>
      </c>
      <c r="G1321" s="243">
        <v>2730000</v>
      </c>
      <c r="H1321" s="243">
        <f t="shared" si="42"/>
        <v>100</v>
      </c>
      <c r="I1321" s="123" t="str">
        <f t="shared" si="43"/>
        <v>070201100S5980200</v>
      </c>
    </row>
    <row r="1322" spans="1:9" ht="25.5">
      <c r="A1322" s="241" t="s">
        <v>1196</v>
      </c>
      <c r="B1322" s="242" t="s">
        <v>207</v>
      </c>
      <c r="C1322" s="242" t="s">
        <v>395</v>
      </c>
      <c r="D1322" s="242" t="s">
        <v>1359</v>
      </c>
      <c r="E1322" s="242" t="s">
        <v>1197</v>
      </c>
      <c r="F1322" s="243">
        <v>2730000</v>
      </c>
      <c r="G1322" s="243">
        <v>2730000</v>
      </c>
      <c r="H1322" s="243">
        <f t="shared" si="42"/>
        <v>100</v>
      </c>
      <c r="I1322" s="123" t="str">
        <f t="shared" si="43"/>
        <v>070201100S5980240</v>
      </c>
    </row>
    <row r="1323" spans="1:9">
      <c r="A1323" s="241" t="s">
        <v>1223</v>
      </c>
      <c r="B1323" s="242" t="s">
        <v>207</v>
      </c>
      <c r="C1323" s="242" t="s">
        <v>395</v>
      </c>
      <c r="D1323" s="242" t="s">
        <v>1359</v>
      </c>
      <c r="E1323" s="242" t="s">
        <v>329</v>
      </c>
      <c r="F1323" s="243">
        <v>2730000</v>
      </c>
      <c r="G1323" s="243">
        <v>2730000</v>
      </c>
      <c r="H1323" s="243">
        <f t="shared" si="42"/>
        <v>100</v>
      </c>
      <c r="I1323" s="123" t="str">
        <f t="shared" si="43"/>
        <v>070201100S5980244</v>
      </c>
    </row>
    <row r="1324" spans="1:9" ht="102">
      <c r="A1324" s="241" t="s">
        <v>1771</v>
      </c>
      <c r="B1324" s="242" t="s">
        <v>207</v>
      </c>
      <c r="C1324" s="242" t="s">
        <v>395</v>
      </c>
      <c r="D1324" s="242" t="s">
        <v>1639</v>
      </c>
      <c r="E1324" s="242"/>
      <c r="F1324" s="243">
        <v>7018500</v>
      </c>
      <c r="G1324" s="243">
        <v>7018500</v>
      </c>
      <c r="H1324" s="243">
        <f t="shared" si="42"/>
        <v>100</v>
      </c>
      <c r="I1324" s="123" t="str">
        <f t="shared" si="43"/>
        <v>0702011E151690</v>
      </c>
    </row>
    <row r="1325" spans="1:9" ht="25.5">
      <c r="A1325" s="241" t="s">
        <v>1319</v>
      </c>
      <c r="B1325" s="242" t="s">
        <v>207</v>
      </c>
      <c r="C1325" s="242" t="s">
        <v>395</v>
      </c>
      <c r="D1325" s="242" t="s">
        <v>1639</v>
      </c>
      <c r="E1325" s="242" t="s">
        <v>1320</v>
      </c>
      <c r="F1325" s="243">
        <v>7018500</v>
      </c>
      <c r="G1325" s="243">
        <v>7018500</v>
      </c>
      <c r="H1325" s="243">
        <f t="shared" si="42"/>
        <v>100</v>
      </c>
      <c r="I1325" s="123" t="str">
        <f t="shared" si="43"/>
        <v>0702011E151690200</v>
      </c>
    </row>
    <row r="1326" spans="1:9" ht="25.5">
      <c r="A1326" s="241" t="s">
        <v>1196</v>
      </c>
      <c r="B1326" s="242" t="s">
        <v>207</v>
      </c>
      <c r="C1326" s="242" t="s">
        <v>395</v>
      </c>
      <c r="D1326" s="242" t="s">
        <v>1639</v>
      </c>
      <c r="E1326" s="242" t="s">
        <v>1197</v>
      </c>
      <c r="F1326" s="243">
        <v>7018500</v>
      </c>
      <c r="G1326" s="243">
        <v>7018500</v>
      </c>
      <c r="H1326" s="243">
        <f t="shared" si="42"/>
        <v>100</v>
      </c>
      <c r="I1326" s="123" t="str">
        <f t="shared" si="43"/>
        <v>0702011E151690240</v>
      </c>
    </row>
    <row r="1327" spans="1:9">
      <c r="A1327" s="241" t="s">
        <v>1223</v>
      </c>
      <c r="B1327" s="242" t="s">
        <v>207</v>
      </c>
      <c r="C1327" s="242" t="s">
        <v>395</v>
      </c>
      <c r="D1327" s="242" t="s">
        <v>1639</v>
      </c>
      <c r="E1327" s="242" t="s">
        <v>329</v>
      </c>
      <c r="F1327" s="243">
        <v>7018500</v>
      </c>
      <c r="G1327" s="243">
        <v>7018500</v>
      </c>
      <c r="H1327" s="243">
        <f t="shared" si="42"/>
        <v>100</v>
      </c>
      <c r="I1327" s="123" t="str">
        <f t="shared" si="43"/>
        <v>0702011E151690244</v>
      </c>
    </row>
    <row r="1328" spans="1:9" ht="38.25">
      <c r="A1328" s="241" t="s">
        <v>452</v>
      </c>
      <c r="B1328" s="242" t="s">
        <v>207</v>
      </c>
      <c r="C1328" s="242" t="s">
        <v>395</v>
      </c>
      <c r="D1328" s="242" t="s">
        <v>974</v>
      </c>
      <c r="E1328" s="242"/>
      <c r="F1328" s="243">
        <v>2381000</v>
      </c>
      <c r="G1328" s="243">
        <v>2381000</v>
      </c>
      <c r="H1328" s="243">
        <f t="shared" si="42"/>
        <v>100</v>
      </c>
      <c r="I1328" s="123" t="str">
        <f t="shared" si="43"/>
        <v>07020300000000</v>
      </c>
    </row>
    <row r="1329" spans="1:9" ht="38.25">
      <c r="A1329" s="241" t="s">
        <v>454</v>
      </c>
      <c r="B1329" s="242" t="s">
        <v>207</v>
      </c>
      <c r="C1329" s="242" t="s">
        <v>395</v>
      </c>
      <c r="D1329" s="242" t="s">
        <v>1313</v>
      </c>
      <c r="E1329" s="242"/>
      <c r="F1329" s="243">
        <v>2381000</v>
      </c>
      <c r="G1329" s="243">
        <v>2381000</v>
      </c>
      <c r="H1329" s="243">
        <f t="shared" si="42"/>
        <v>100</v>
      </c>
      <c r="I1329" s="123" t="str">
        <f t="shared" si="43"/>
        <v>07020340000000</v>
      </c>
    </row>
    <row r="1330" spans="1:9" ht="76.5">
      <c r="A1330" s="241" t="s">
        <v>396</v>
      </c>
      <c r="B1330" s="242" t="s">
        <v>207</v>
      </c>
      <c r="C1330" s="242" t="s">
        <v>395</v>
      </c>
      <c r="D1330" s="242" t="s">
        <v>765</v>
      </c>
      <c r="E1330" s="242"/>
      <c r="F1330" s="243">
        <v>2381000</v>
      </c>
      <c r="G1330" s="243">
        <v>2381000</v>
      </c>
      <c r="H1330" s="243">
        <f t="shared" si="42"/>
        <v>100</v>
      </c>
      <c r="I1330" s="123" t="str">
        <f t="shared" si="43"/>
        <v>07020340080000</v>
      </c>
    </row>
    <row r="1331" spans="1:9" ht="25.5">
      <c r="A1331" s="241" t="s">
        <v>1319</v>
      </c>
      <c r="B1331" s="242" t="s">
        <v>207</v>
      </c>
      <c r="C1331" s="242" t="s">
        <v>395</v>
      </c>
      <c r="D1331" s="242" t="s">
        <v>765</v>
      </c>
      <c r="E1331" s="242" t="s">
        <v>1320</v>
      </c>
      <c r="F1331" s="243">
        <v>2381000</v>
      </c>
      <c r="G1331" s="243">
        <v>2381000</v>
      </c>
      <c r="H1331" s="243">
        <f t="shared" si="42"/>
        <v>100</v>
      </c>
      <c r="I1331" s="123" t="str">
        <f t="shared" si="43"/>
        <v>07020340080000200</v>
      </c>
    </row>
    <row r="1332" spans="1:9" ht="25.5">
      <c r="A1332" s="241" t="s">
        <v>1196</v>
      </c>
      <c r="B1332" s="242" t="s">
        <v>207</v>
      </c>
      <c r="C1332" s="242" t="s">
        <v>395</v>
      </c>
      <c r="D1332" s="242" t="s">
        <v>765</v>
      </c>
      <c r="E1332" s="242" t="s">
        <v>1197</v>
      </c>
      <c r="F1332" s="243">
        <v>2381000</v>
      </c>
      <c r="G1332" s="243">
        <v>2381000</v>
      </c>
      <c r="H1332" s="243">
        <f t="shared" si="42"/>
        <v>100</v>
      </c>
      <c r="I1332" s="123" t="str">
        <f t="shared" si="43"/>
        <v>07020340080000240</v>
      </c>
    </row>
    <row r="1333" spans="1:9">
      <c r="A1333" s="241" t="s">
        <v>1223</v>
      </c>
      <c r="B1333" s="242" t="s">
        <v>207</v>
      </c>
      <c r="C1333" s="242" t="s">
        <v>395</v>
      </c>
      <c r="D1333" s="242" t="s">
        <v>765</v>
      </c>
      <c r="E1333" s="242" t="s">
        <v>329</v>
      </c>
      <c r="F1333" s="243">
        <v>2381000</v>
      </c>
      <c r="G1333" s="243">
        <v>2381000</v>
      </c>
      <c r="H1333" s="243">
        <f t="shared" si="42"/>
        <v>100</v>
      </c>
      <c r="I1333" s="123" t="str">
        <f t="shared" si="43"/>
        <v>07020340080000244</v>
      </c>
    </row>
    <row r="1334" spans="1:9" ht="25.5">
      <c r="A1334" s="241" t="s">
        <v>483</v>
      </c>
      <c r="B1334" s="242" t="s">
        <v>207</v>
      </c>
      <c r="C1334" s="242" t="s">
        <v>395</v>
      </c>
      <c r="D1334" s="242" t="s">
        <v>993</v>
      </c>
      <c r="E1334" s="242"/>
      <c r="F1334" s="243">
        <v>13334</v>
      </c>
      <c r="G1334" s="243">
        <v>13334</v>
      </c>
      <c r="H1334" s="243">
        <f t="shared" si="42"/>
        <v>100</v>
      </c>
      <c r="I1334" s="123" t="str">
        <f t="shared" si="43"/>
        <v>07020900000000</v>
      </c>
    </row>
    <row r="1335" spans="1:9" ht="25.5">
      <c r="A1335" s="241" t="s">
        <v>488</v>
      </c>
      <c r="B1335" s="242" t="s">
        <v>207</v>
      </c>
      <c r="C1335" s="242" t="s">
        <v>395</v>
      </c>
      <c r="D1335" s="242" t="s">
        <v>996</v>
      </c>
      <c r="E1335" s="242"/>
      <c r="F1335" s="243">
        <v>13334</v>
      </c>
      <c r="G1335" s="243">
        <v>13334</v>
      </c>
      <c r="H1335" s="243">
        <f t="shared" si="42"/>
        <v>100</v>
      </c>
      <c r="I1335" s="123" t="str">
        <f t="shared" si="43"/>
        <v>07020930000000</v>
      </c>
    </row>
    <row r="1336" spans="1:9" ht="76.5">
      <c r="A1336" s="241" t="s">
        <v>1807</v>
      </c>
      <c r="B1336" s="242" t="s">
        <v>207</v>
      </c>
      <c r="C1336" s="242" t="s">
        <v>395</v>
      </c>
      <c r="D1336" s="242" t="s">
        <v>1806</v>
      </c>
      <c r="E1336" s="242"/>
      <c r="F1336" s="243">
        <v>13334</v>
      </c>
      <c r="G1336" s="243">
        <v>13334</v>
      </c>
      <c r="H1336" s="243">
        <f t="shared" si="42"/>
        <v>100</v>
      </c>
      <c r="I1336" s="123" t="str">
        <f t="shared" si="43"/>
        <v>0702093R373980</v>
      </c>
    </row>
    <row r="1337" spans="1:9" ht="25.5">
      <c r="A1337" s="241" t="s">
        <v>1319</v>
      </c>
      <c r="B1337" s="242" t="s">
        <v>207</v>
      </c>
      <c r="C1337" s="242" t="s">
        <v>395</v>
      </c>
      <c r="D1337" s="242" t="s">
        <v>1806</v>
      </c>
      <c r="E1337" s="242" t="s">
        <v>1320</v>
      </c>
      <c r="F1337" s="243">
        <v>13334</v>
      </c>
      <c r="G1337" s="243">
        <v>13334</v>
      </c>
      <c r="H1337" s="243">
        <f t="shared" si="42"/>
        <v>100</v>
      </c>
      <c r="I1337" s="123" t="str">
        <f t="shared" si="43"/>
        <v>0702093R373980200</v>
      </c>
    </row>
    <row r="1338" spans="1:9" ht="25.5">
      <c r="A1338" s="241" t="s">
        <v>1196</v>
      </c>
      <c r="B1338" s="242" t="s">
        <v>207</v>
      </c>
      <c r="C1338" s="242" t="s">
        <v>395</v>
      </c>
      <c r="D1338" s="242" t="s">
        <v>1806</v>
      </c>
      <c r="E1338" s="242" t="s">
        <v>1197</v>
      </c>
      <c r="F1338" s="243">
        <v>13334</v>
      </c>
      <c r="G1338" s="243">
        <v>13334</v>
      </c>
      <c r="H1338" s="243">
        <f t="shared" si="42"/>
        <v>100</v>
      </c>
      <c r="I1338" s="123" t="str">
        <f t="shared" si="43"/>
        <v>0702093R373980240</v>
      </c>
    </row>
    <row r="1339" spans="1:9">
      <c r="A1339" s="241" t="s">
        <v>1223</v>
      </c>
      <c r="B1339" s="242" t="s">
        <v>207</v>
      </c>
      <c r="C1339" s="242" t="s">
        <v>395</v>
      </c>
      <c r="D1339" s="242" t="s">
        <v>1806</v>
      </c>
      <c r="E1339" s="242" t="s">
        <v>329</v>
      </c>
      <c r="F1339" s="243">
        <v>13334</v>
      </c>
      <c r="G1339" s="243">
        <v>13334</v>
      </c>
      <c r="H1339" s="243">
        <f t="shared" si="42"/>
        <v>100</v>
      </c>
      <c r="I1339" s="123" t="str">
        <f t="shared" si="43"/>
        <v>0702093R373980244</v>
      </c>
    </row>
    <row r="1340" spans="1:9">
      <c r="A1340" s="241" t="s">
        <v>1077</v>
      </c>
      <c r="B1340" s="242" t="s">
        <v>207</v>
      </c>
      <c r="C1340" s="242" t="s">
        <v>1078</v>
      </c>
      <c r="D1340" s="242"/>
      <c r="E1340" s="242"/>
      <c r="F1340" s="243">
        <v>73004552.129999995</v>
      </c>
      <c r="G1340" s="243">
        <v>72203421.920000002</v>
      </c>
      <c r="H1340" s="243">
        <f t="shared" si="42"/>
        <v>98.902629785916076</v>
      </c>
      <c r="I1340" s="123" t="str">
        <f t="shared" si="43"/>
        <v>0703</v>
      </c>
    </row>
    <row r="1341" spans="1:9" ht="25.5">
      <c r="A1341" s="241" t="s">
        <v>442</v>
      </c>
      <c r="B1341" s="242" t="s">
        <v>207</v>
      </c>
      <c r="C1341" s="242" t="s">
        <v>1078</v>
      </c>
      <c r="D1341" s="242" t="s">
        <v>971</v>
      </c>
      <c r="E1341" s="242"/>
      <c r="F1341" s="243">
        <v>72924552.129999995</v>
      </c>
      <c r="G1341" s="243">
        <v>72123421.920000002</v>
      </c>
      <c r="H1341" s="243">
        <f t="shared" si="42"/>
        <v>98.901425944211695</v>
      </c>
      <c r="I1341" s="123" t="str">
        <f t="shared" si="43"/>
        <v>07030100000000</v>
      </c>
    </row>
    <row r="1342" spans="1:9" ht="25.5">
      <c r="A1342" s="241" t="s">
        <v>443</v>
      </c>
      <c r="B1342" s="242" t="s">
        <v>207</v>
      </c>
      <c r="C1342" s="242" t="s">
        <v>1078</v>
      </c>
      <c r="D1342" s="242" t="s">
        <v>972</v>
      </c>
      <c r="E1342" s="242"/>
      <c r="F1342" s="243">
        <v>72924552.129999995</v>
      </c>
      <c r="G1342" s="243">
        <v>72123421.920000002</v>
      </c>
      <c r="H1342" s="243">
        <f t="shared" si="42"/>
        <v>98.901425944211695</v>
      </c>
      <c r="I1342" s="123" t="str">
        <f t="shared" si="43"/>
        <v>07030110000000</v>
      </c>
    </row>
    <row r="1343" spans="1:9" ht="89.25">
      <c r="A1343" s="241" t="s">
        <v>2098</v>
      </c>
      <c r="B1343" s="242" t="s">
        <v>207</v>
      </c>
      <c r="C1343" s="242" t="s">
        <v>1078</v>
      </c>
      <c r="D1343" s="242" t="s">
        <v>2099</v>
      </c>
      <c r="E1343" s="242"/>
      <c r="F1343" s="243">
        <v>709600</v>
      </c>
      <c r="G1343" s="243">
        <v>709600</v>
      </c>
      <c r="H1343" s="243">
        <f t="shared" si="42"/>
        <v>100</v>
      </c>
      <c r="I1343" s="123" t="str">
        <f t="shared" si="43"/>
        <v>07030110027240</v>
      </c>
    </row>
    <row r="1344" spans="1:9" ht="25.5">
      <c r="A1344" s="241" t="s">
        <v>1327</v>
      </c>
      <c r="B1344" s="242" t="s">
        <v>207</v>
      </c>
      <c r="C1344" s="242" t="s">
        <v>1078</v>
      </c>
      <c r="D1344" s="242" t="s">
        <v>2099</v>
      </c>
      <c r="E1344" s="242" t="s">
        <v>1328</v>
      </c>
      <c r="F1344" s="243">
        <v>709600</v>
      </c>
      <c r="G1344" s="243">
        <v>709600</v>
      </c>
      <c r="H1344" s="243">
        <f t="shared" si="42"/>
        <v>100</v>
      </c>
      <c r="I1344" s="123" t="str">
        <f t="shared" si="43"/>
        <v>07030110027240600</v>
      </c>
    </row>
    <row r="1345" spans="1:9">
      <c r="A1345" s="241" t="s">
        <v>1198</v>
      </c>
      <c r="B1345" s="242" t="s">
        <v>207</v>
      </c>
      <c r="C1345" s="242" t="s">
        <v>1078</v>
      </c>
      <c r="D1345" s="242" t="s">
        <v>2099</v>
      </c>
      <c r="E1345" s="242" t="s">
        <v>1199</v>
      </c>
      <c r="F1345" s="243">
        <v>709600</v>
      </c>
      <c r="G1345" s="243">
        <v>709600</v>
      </c>
      <c r="H1345" s="243">
        <f t="shared" si="42"/>
        <v>100</v>
      </c>
      <c r="I1345" s="123" t="str">
        <f t="shared" si="43"/>
        <v>07030110027240610</v>
      </c>
    </row>
    <row r="1346" spans="1:9" ht="51">
      <c r="A1346" s="241" t="s">
        <v>347</v>
      </c>
      <c r="B1346" s="242" t="s">
        <v>207</v>
      </c>
      <c r="C1346" s="242" t="s">
        <v>1078</v>
      </c>
      <c r="D1346" s="242" t="s">
        <v>2099</v>
      </c>
      <c r="E1346" s="242" t="s">
        <v>348</v>
      </c>
      <c r="F1346" s="243">
        <v>709600</v>
      </c>
      <c r="G1346" s="243">
        <v>709600</v>
      </c>
      <c r="H1346" s="243">
        <f t="shared" si="42"/>
        <v>100</v>
      </c>
      <c r="I1346" s="123" t="str">
        <f t="shared" si="43"/>
        <v>07030110027240611</v>
      </c>
    </row>
    <row r="1347" spans="1:9" ht="89.25">
      <c r="A1347" s="241" t="s">
        <v>2090</v>
      </c>
      <c r="B1347" s="242" t="s">
        <v>207</v>
      </c>
      <c r="C1347" s="242" t="s">
        <v>1078</v>
      </c>
      <c r="D1347" s="242" t="s">
        <v>2091</v>
      </c>
      <c r="E1347" s="242"/>
      <c r="F1347" s="243">
        <v>2840000</v>
      </c>
      <c r="G1347" s="243">
        <v>2840000</v>
      </c>
      <c r="H1347" s="243">
        <f t="shared" ref="H1347:H1410" si="44">G1347/F1347*100</f>
        <v>100</v>
      </c>
      <c r="I1347" s="123" t="str">
        <f t="shared" si="43"/>
        <v>07030110027242</v>
      </c>
    </row>
    <row r="1348" spans="1:9" ht="25.5">
      <c r="A1348" s="241" t="s">
        <v>1327</v>
      </c>
      <c r="B1348" s="242" t="s">
        <v>207</v>
      </c>
      <c r="C1348" s="242" t="s">
        <v>1078</v>
      </c>
      <c r="D1348" s="242" t="s">
        <v>2091</v>
      </c>
      <c r="E1348" s="242" t="s">
        <v>1328</v>
      </c>
      <c r="F1348" s="243">
        <v>2840000</v>
      </c>
      <c r="G1348" s="243">
        <v>2840000</v>
      </c>
      <c r="H1348" s="243">
        <f t="shared" si="44"/>
        <v>100</v>
      </c>
      <c r="I1348" s="123" t="str">
        <f t="shared" si="43"/>
        <v>07030110027242600</v>
      </c>
    </row>
    <row r="1349" spans="1:9">
      <c r="A1349" s="241" t="s">
        <v>1198</v>
      </c>
      <c r="B1349" s="242" t="s">
        <v>207</v>
      </c>
      <c r="C1349" s="242" t="s">
        <v>1078</v>
      </c>
      <c r="D1349" s="242" t="s">
        <v>2091</v>
      </c>
      <c r="E1349" s="242" t="s">
        <v>1199</v>
      </c>
      <c r="F1349" s="243">
        <v>2840000</v>
      </c>
      <c r="G1349" s="243">
        <v>2840000</v>
      </c>
      <c r="H1349" s="243">
        <f t="shared" si="44"/>
        <v>100</v>
      </c>
      <c r="I1349" s="123" t="str">
        <f t="shared" si="43"/>
        <v>07030110027242610</v>
      </c>
    </row>
    <row r="1350" spans="1:9" ht="51">
      <c r="A1350" s="241" t="s">
        <v>347</v>
      </c>
      <c r="B1350" s="242" t="s">
        <v>207</v>
      </c>
      <c r="C1350" s="242" t="s">
        <v>1078</v>
      </c>
      <c r="D1350" s="242" t="s">
        <v>2091</v>
      </c>
      <c r="E1350" s="242" t="s">
        <v>348</v>
      </c>
      <c r="F1350" s="243">
        <v>2840000</v>
      </c>
      <c r="G1350" s="243">
        <v>2840000</v>
      </c>
      <c r="H1350" s="243">
        <f t="shared" si="44"/>
        <v>100</v>
      </c>
      <c r="I1350" s="123" t="str">
        <f t="shared" si="43"/>
        <v>07030110027242611</v>
      </c>
    </row>
    <row r="1351" spans="1:9" ht="102">
      <c r="A1351" s="241" t="s">
        <v>414</v>
      </c>
      <c r="B1351" s="242" t="s">
        <v>207</v>
      </c>
      <c r="C1351" s="242" t="s">
        <v>1078</v>
      </c>
      <c r="D1351" s="242" t="s">
        <v>754</v>
      </c>
      <c r="E1351" s="242"/>
      <c r="F1351" s="243">
        <v>3721400</v>
      </c>
      <c r="G1351" s="243">
        <v>3721400</v>
      </c>
      <c r="H1351" s="243">
        <f t="shared" si="44"/>
        <v>100</v>
      </c>
      <c r="I1351" s="123" t="str">
        <f t="shared" si="43"/>
        <v>07030110040030</v>
      </c>
    </row>
    <row r="1352" spans="1:9" ht="25.5">
      <c r="A1352" s="241" t="s">
        <v>1327</v>
      </c>
      <c r="B1352" s="242" t="s">
        <v>207</v>
      </c>
      <c r="C1352" s="242" t="s">
        <v>1078</v>
      </c>
      <c r="D1352" s="242" t="s">
        <v>754</v>
      </c>
      <c r="E1352" s="242" t="s">
        <v>1328</v>
      </c>
      <c r="F1352" s="243">
        <v>3721400</v>
      </c>
      <c r="G1352" s="243">
        <v>3721400</v>
      </c>
      <c r="H1352" s="243">
        <f t="shared" si="44"/>
        <v>100</v>
      </c>
      <c r="I1352" s="123" t="str">
        <f t="shared" si="43"/>
        <v>07030110040030600</v>
      </c>
    </row>
    <row r="1353" spans="1:9">
      <c r="A1353" s="241" t="s">
        <v>1198</v>
      </c>
      <c r="B1353" s="242" t="s">
        <v>207</v>
      </c>
      <c r="C1353" s="242" t="s">
        <v>1078</v>
      </c>
      <c r="D1353" s="242" t="s">
        <v>754</v>
      </c>
      <c r="E1353" s="242" t="s">
        <v>1199</v>
      </c>
      <c r="F1353" s="243">
        <v>3721400</v>
      </c>
      <c r="G1353" s="243">
        <v>3721400</v>
      </c>
      <c r="H1353" s="243">
        <f t="shared" si="44"/>
        <v>100</v>
      </c>
      <c r="I1353" s="123" t="str">
        <f t="shared" si="43"/>
        <v>07030110040030610</v>
      </c>
    </row>
    <row r="1354" spans="1:9" ht="51">
      <c r="A1354" s="241" t="s">
        <v>347</v>
      </c>
      <c r="B1354" s="242" t="s">
        <v>207</v>
      </c>
      <c r="C1354" s="242" t="s">
        <v>1078</v>
      </c>
      <c r="D1354" s="242" t="s">
        <v>754</v>
      </c>
      <c r="E1354" s="242" t="s">
        <v>348</v>
      </c>
      <c r="F1354" s="243">
        <v>3721400</v>
      </c>
      <c r="G1354" s="243">
        <v>3721400</v>
      </c>
      <c r="H1354" s="243">
        <f t="shared" si="44"/>
        <v>100</v>
      </c>
      <c r="I1354" s="123" t="str">
        <f t="shared" si="43"/>
        <v>07030110040030611</v>
      </c>
    </row>
    <row r="1355" spans="1:9" ht="102">
      <c r="A1355" s="241" t="s">
        <v>1786</v>
      </c>
      <c r="B1355" s="242" t="s">
        <v>207</v>
      </c>
      <c r="C1355" s="242" t="s">
        <v>1078</v>
      </c>
      <c r="D1355" s="242" t="s">
        <v>1787</v>
      </c>
      <c r="E1355" s="242"/>
      <c r="F1355" s="243">
        <v>16935486</v>
      </c>
      <c r="G1355" s="243">
        <v>16935486</v>
      </c>
      <c r="H1355" s="243">
        <f t="shared" si="44"/>
        <v>100</v>
      </c>
      <c r="I1355" s="123" t="str">
        <f t="shared" si="43"/>
        <v>07030110040031</v>
      </c>
    </row>
    <row r="1356" spans="1:9" ht="25.5">
      <c r="A1356" s="241" t="s">
        <v>1327</v>
      </c>
      <c r="B1356" s="242" t="s">
        <v>207</v>
      </c>
      <c r="C1356" s="242" t="s">
        <v>1078</v>
      </c>
      <c r="D1356" s="242" t="s">
        <v>1787</v>
      </c>
      <c r="E1356" s="242" t="s">
        <v>1328</v>
      </c>
      <c r="F1356" s="243">
        <v>16935486</v>
      </c>
      <c r="G1356" s="243">
        <v>16935486</v>
      </c>
      <c r="H1356" s="243">
        <f t="shared" si="44"/>
        <v>100</v>
      </c>
      <c r="I1356" s="123" t="str">
        <f t="shared" si="43"/>
        <v>07030110040031600</v>
      </c>
    </row>
    <row r="1357" spans="1:9">
      <c r="A1357" s="241" t="s">
        <v>1198</v>
      </c>
      <c r="B1357" s="242" t="s">
        <v>207</v>
      </c>
      <c r="C1357" s="242" t="s">
        <v>1078</v>
      </c>
      <c r="D1357" s="242" t="s">
        <v>1787</v>
      </c>
      <c r="E1357" s="242" t="s">
        <v>1199</v>
      </c>
      <c r="F1357" s="243">
        <v>16935486</v>
      </c>
      <c r="G1357" s="243">
        <v>16935486</v>
      </c>
      <c r="H1357" s="243">
        <f t="shared" si="44"/>
        <v>100</v>
      </c>
      <c r="I1357" s="123" t="str">
        <f t="shared" si="43"/>
        <v>07030110040031610</v>
      </c>
    </row>
    <row r="1358" spans="1:9" ht="51">
      <c r="A1358" s="241" t="s">
        <v>347</v>
      </c>
      <c r="B1358" s="242" t="s">
        <v>207</v>
      </c>
      <c r="C1358" s="242" t="s">
        <v>1078</v>
      </c>
      <c r="D1358" s="242" t="s">
        <v>1787</v>
      </c>
      <c r="E1358" s="242" t="s">
        <v>348</v>
      </c>
      <c r="F1358" s="243">
        <v>16935486</v>
      </c>
      <c r="G1358" s="243">
        <v>16935486</v>
      </c>
      <c r="H1358" s="243">
        <f t="shared" si="44"/>
        <v>100</v>
      </c>
      <c r="I1358" s="123" t="str">
        <f t="shared" si="43"/>
        <v>07030110040031611</v>
      </c>
    </row>
    <row r="1359" spans="1:9" ht="140.25">
      <c r="A1359" s="241" t="s">
        <v>1474</v>
      </c>
      <c r="B1359" s="242" t="s">
        <v>207</v>
      </c>
      <c r="C1359" s="242" t="s">
        <v>1078</v>
      </c>
      <c r="D1359" s="242" t="s">
        <v>1475</v>
      </c>
      <c r="E1359" s="242"/>
      <c r="F1359" s="243">
        <v>651000</v>
      </c>
      <c r="G1359" s="243">
        <v>651000</v>
      </c>
      <c r="H1359" s="243">
        <f t="shared" si="44"/>
        <v>100</v>
      </c>
      <c r="I1359" s="123" t="str">
        <f t="shared" si="43"/>
        <v>07030110040032</v>
      </c>
    </row>
    <row r="1360" spans="1:9" ht="25.5">
      <c r="A1360" s="241" t="s">
        <v>1327</v>
      </c>
      <c r="B1360" s="242" t="s">
        <v>207</v>
      </c>
      <c r="C1360" s="242" t="s">
        <v>1078</v>
      </c>
      <c r="D1360" s="242" t="s">
        <v>1475</v>
      </c>
      <c r="E1360" s="242" t="s">
        <v>1328</v>
      </c>
      <c r="F1360" s="243">
        <v>651000</v>
      </c>
      <c r="G1360" s="243">
        <v>651000</v>
      </c>
      <c r="H1360" s="243">
        <f t="shared" si="44"/>
        <v>100</v>
      </c>
      <c r="I1360" s="123" t="str">
        <f t="shared" si="43"/>
        <v>07030110040032600</v>
      </c>
    </row>
    <row r="1361" spans="1:9">
      <c r="A1361" s="241" t="s">
        <v>1198</v>
      </c>
      <c r="B1361" s="242" t="s">
        <v>207</v>
      </c>
      <c r="C1361" s="242" t="s">
        <v>1078</v>
      </c>
      <c r="D1361" s="242" t="s">
        <v>1475</v>
      </c>
      <c r="E1361" s="242" t="s">
        <v>1199</v>
      </c>
      <c r="F1361" s="243">
        <v>651000</v>
      </c>
      <c r="G1361" s="243">
        <v>651000</v>
      </c>
      <c r="H1361" s="243">
        <f t="shared" si="44"/>
        <v>100</v>
      </c>
      <c r="I1361" s="123" t="str">
        <f t="shared" si="43"/>
        <v>07030110040032610</v>
      </c>
    </row>
    <row r="1362" spans="1:9" ht="51">
      <c r="A1362" s="241" t="s">
        <v>347</v>
      </c>
      <c r="B1362" s="242" t="s">
        <v>207</v>
      </c>
      <c r="C1362" s="242" t="s">
        <v>1078</v>
      </c>
      <c r="D1362" s="242" t="s">
        <v>1475</v>
      </c>
      <c r="E1362" s="242" t="s">
        <v>348</v>
      </c>
      <c r="F1362" s="243">
        <v>651000</v>
      </c>
      <c r="G1362" s="243">
        <v>651000</v>
      </c>
      <c r="H1362" s="243">
        <f t="shared" si="44"/>
        <v>100</v>
      </c>
      <c r="I1362" s="123" t="str">
        <f t="shared" si="43"/>
        <v>07030110040032611</v>
      </c>
    </row>
    <row r="1363" spans="1:9" ht="153">
      <c r="A1363" s="241" t="s">
        <v>1476</v>
      </c>
      <c r="B1363" s="242" t="s">
        <v>207</v>
      </c>
      <c r="C1363" s="242" t="s">
        <v>1078</v>
      </c>
      <c r="D1363" s="242" t="s">
        <v>1477</v>
      </c>
      <c r="E1363" s="242"/>
      <c r="F1363" s="243">
        <v>1411400</v>
      </c>
      <c r="G1363" s="243">
        <v>1411400</v>
      </c>
      <c r="H1363" s="243">
        <f t="shared" si="44"/>
        <v>100</v>
      </c>
      <c r="I1363" s="123" t="str">
        <f t="shared" si="43"/>
        <v>07030110040033</v>
      </c>
    </row>
    <row r="1364" spans="1:9" ht="25.5">
      <c r="A1364" s="241" t="s">
        <v>1327</v>
      </c>
      <c r="B1364" s="242" t="s">
        <v>207</v>
      </c>
      <c r="C1364" s="242" t="s">
        <v>1078</v>
      </c>
      <c r="D1364" s="242" t="s">
        <v>1477</v>
      </c>
      <c r="E1364" s="242" t="s">
        <v>1328</v>
      </c>
      <c r="F1364" s="243">
        <v>1411400</v>
      </c>
      <c r="G1364" s="243">
        <v>1411400</v>
      </c>
      <c r="H1364" s="243">
        <f t="shared" si="44"/>
        <v>100</v>
      </c>
      <c r="I1364" s="123" t="str">
        <f t="shared" si="43"/>
        <v>07030110040033600</v>
      </c>
    </row>
    <row r="1365" spans="1:9">
      <c r="A1365" s="241" t="s">
        <v>1198</v>
      </c>
      <c r="B1365" s="242" t="s">
        <v>207</v>
      </c>
      <c r="C1365" s="242" t="s">
        <v>1078</v>
      </c>
      <c r="D1365" s="242" t="s">
        <v>1477</v>
      </c>
      <c r="E1365" s="242" t="s">
        <v>1199</v>
      </c>
      <c r="F1365" s="243">
        <v>1411400</v>
      </c>
      <c r="G1365" s="243">
        <v>1411400</v>
      </c>
      <c r="H1365" s="243">
        <f t="shared" si="44"/>
        <v>100</v>
      </c>
      <c r="I1365" s="123" t="str">
        <f t="shared" si="43"/>
        <v>07030110040033610</v>
      </c>
    </row>
    <row r="1366" spans="1:9" ht="51">
      <c r="A1366" s="241" t="s">
        <v>347</v>
      </c>
      <c r="B1366" s="242" t="s">
        <v>207</v>
      </c>
      <c r="C1366" s="242" t="s">
        <v>1078</v>
      </c>
      <c r="D1366" s="242" t="s">
        <v>1477</v>
      </c>
      <c r="E1366" s="242" t="s">
        <v>348</v>
      </c>
      <c r="F1366" s="243">
        <v>1411400</v>
      </c>
      <c r="G1366" s="243">
        <v>1411400</v>
      </c>
      <c r="H1366" s="243">
        <f t="shared" si="44"/>
        <v>100</v>
      </c>
      <c r="I1366" s="123" t="str">
        <f t="shared" si="43"/>
        <v>07030110040033611</v>
      </c>
    </row>
    <row r="1367" spans="1:9" ht="140.25">
      <c r="A1367" s="241" t="s">
        <v>576</v>
      </c>
      <c r="B1367" s="242" t="s">
        <v>207</v>
      </c>
      <c r="C1367" s="242" t="s">
        <v>1078</v>
      </c>
      <c r="D1367" s="242" t="s">
        <v>755</v>
      </c>
      <c r="E1367" s="242"/>
      <c r="F1367" s="243">
        <v>8611056.1199999992</v>
      </c>
      <c r="G1367" s="243">
        <v>8611056.1199999992</v>
      </c>
      <c r="H1367" s="243">
        <f t="shared" si="44"/>
        <v>100</v>
      </c>
      <c r="I1367" s="123" t="str">
        <f t="shared" si="43"/>
        <v>07030110041030</v>
      </c>
    </row>
    <row r="1368" spans="1:9" ht="25.5">
      <c r="A1368" s="241" t="s">
        <v>1327</v>
      </c>
      <c r="B1368" s="242" t="s">
        <v>207</v>
      </c>
      <c r="C1368" s="242" t="s">
        <v>1078</v>
      </c>
      <c r="D1368" s="242" t="s">
        <v>755</v>
      </c>
      <c r="E1368" s="242" t="s">
        <v>1328</v>
      </c>
      <c r="F1368" s="243">
        <v>8611056.1199999992</v>
      </c>
      <c r="G1368" s="243">
        <v>8611056.1199999992</v>
      </c>
      <c r="H1368" s="243">
        <f t="shared" si="44"/>
        <v>100</v>
      </c>
      <c r="I1368" s="123" t="str">
        <f t="shared" si="43"/>
        <v>07030110041030600</v>
      </c>
    </row>
    <row r="1369" spans="1:9">
      <c r="A1369" s="241" t="s">
        <v>1198</v>
      </c>
      <c r="B1369" s="242" t="s">
        <v>207</v>
      </c>
      <c r="C1369" s="242" t="s">
        <v>1078</v>
      </c>
      <c r="D1369" s="242" t="s">
        <v>755</v>
      </c>
      <c r="E1369" s="242" t="s">
        <v>1199</v>
      </c>
      <c r="F1369" s="243">
        <v>8611056.1199999992</v>
      </c>
      <c r="G1369" s="243">
        <v>8611056.1199999992</v>
      </c>
      <c r="H1369" s="243">
        <f t="shared" si="44"/>
        <v>100</v>
      </c>
      <c r="I1369" s="123" t="str">
        <f t="shared" si="43"/>
        <v>07030110041030610</v>
      </c>
    </row>
    <row r="1370" spans="1:9" ht="51">
      <c r="A1370" s="241" t="s">
        <v>347</v>
      </c>
      <c r="B1370" s="242" t="s">
        <v>207</v>
      </c>
      <c r="C1370" s="242" t="s">
        <v>1078</v>
      </c>
      <c r="D1370" s="242" t="s">
        <v>755</v>
      </c>
      <c r="E1370" s="242" t="s">
        <v>348</v>
      </c>
      <c r="F1370" s="243">
        <v>8611056.1199999992</v>
      </c>
      <c r="G1370" s="243">
        <v>8611056.1199999992</v>
      </c>
      <c r="H1370" s="243">
        <f t="shared" si="44"/>
        <v>100</v>
      </c>
      <c r="I1370" s="123" t="str">
        <f t="shared" si="43"/>
        <v>07030110041030611</v>
      </c>
    </row>
    <row r="1371" spans="1:9" ht="89.25">
      <c r="A1371" s="241" t="s">
        <v>1788</v>
      </c>
      <c r="B1371" s="242" t="s">
        <v>207</v>
      </c>
      <c r="C1371" s="242" t="s">
        <v>1078</v>
      </c>
      <c r="D1371" s="242" t="s">
        <v>1789</v>
      </c>
      <c r="E1371" s="242"/>
      <c r="F1371" s="243">
        <v>15752100</v>
      </c>
      <c r="G1371" s="243">
        <v>15229162</v>
      </c>
      <c r="H1371" s="243">
        <f t="shared" si="44"/>
        <v>96.680201369976075</v>
      </c>
      <c r="I1371" s="123" t="str">
        <f t="shared" si="43"/>
        <v>07030110042030</v>
      </c>
    </row>
    <row r="1372" spans="1:9" ht="25.5">
      <c r="A1372" s="241" t="s">
        <v>1327</v>
      </c>
      <c r="B1372" s="242" t="s">
        <v>207</v>
      </c>
      <c r="C1372" s="242" t="s">
        <v>1078</v>
      </c>
      <c r="D1372" s="242" t="s">
        <v>1789</v>
      </c>
      <c r="E1372" s="242" t="s">
        <v>1328</v>
      </c>
      <c r="F1372" s="243">
        <v>15645943.029999999</v>
      </c>
      <c r="G1372" s="243">
        <v>15229162</v>
      </c>
      <c r="H1372" s="243">
        <f t="shared" si="44"/>
        <v>97.336171880462231</v>
      </c>
      <c r="I1372" s="123" t="str">
        <f t="shared" si="43"/>
        <v>07030110042030600</v>
      </c>
    </row>
    <row r="1373" spans="1:9">
      <c r="A1373" s="241" t="s">
        <v>1198</v>
      </c>
      <c r="B1373" s="242" t="s">
        <v>207</v>
      </c>
      <c r="C1373" s="242" t="s">
        <v>1078</v>
      </c>
      <c r="D1373" s="242" t="s">
        <v>1789</v>
      </c>
      <c r="E1373" s="242" t="s">
        <v>1199</v>
      </c>
      <c r="F1373" s="243">
        <v>15450887.710000001</v>
      </c>
      <c r="G1373" s="243">
        <v>15229162</v>
      </c>
      <c r="H1373" s="243">
        <f t="shared" si="44"/>
        <v>98.564964588691581</v>
      </c>
      <c r="I1373" s="123" t="str">
        <f t="shared" si="43"/>
        <v>07030110042030610</v>
      </c>
    </row>
    <row r="1374" spans="1:9" ht="51">
      <c r="A1374" s="241" t="s">
        <v>347</v>
      </c>
      <c r="B1374" s="242" t="s">
        <v>207</v>
      </c>
      <c r="C1374" s="242" t="s">
        <v>1078</v>
      </c>
      <c r="D1374" s="242" t="s">
        <v>1789</v>
      </c>
      <c r="E1374" s="242" t="s">
        <v>348</v>
      </c>
      <c r="F1374" s="243">
        <v>15229162</v>
      </c>
      <c r="G1374" s="243">
        <v>15229162</v>
      </c>
      <c r="H1374" s="243">
        <f t="shared" si="44"/>
        <v>100</v>
      </c>
      <c r="I1374" s="123" t="str">
        <f t="shared" si="43"/>
        <v>07030110042030611</v>
      </c>
    </row>
    <row r="1375" spans="1:9">
      <c r="A1375" s="241" t="s">
        <v>1790</v>
      </c>
      <c r="B1375" s="242" t="s">
        <v>207</v>
      </c>
      <c r="C1375" s="242" t="s">
        <v>1078</v>
      </c>
      <c r="D1375" s="242" t="s">
        <v>1789</v>
      </c>
      <c r="E1375" s="242" t="s">
        <v>1791</v>
      </c>
      <c r="F1375" s="243">
        <v>221725.71</v>
      </c>
      <c r="G1375" s="243">
        <v>0</v>
      </c>
      <c r="H1375" s="243">
        <f t="shared" si="44"/>
        <v>0</v>
      </c>
      <c r="I1375" s="123" t="str">
        <f t="shared" si="43"/>
        <v>07030110042030613</v>
      </c>
    </row>
    <row r="1376" spans="1:9">
      <c r="A1376" s="241" t="s">
        <v>2151</v>
      </c>
      <c r="B1376" s="242" t="s">
        <v>207</v>
      </c>
      <c r="C1376" s="242" t="s">
        <v>1078</v>
      </c>
      <c r="D1376" s="242" t="s">
        <v>1789</v>
      </c>
      <c r="E1376" s="242" t="s">
        <v>2152</v>
      </c>
      <c r="F1376" s="243">
        <v>29283.97</v>
      </c>
      <c r="G1376" s="243">
        <v>0</v>
      </c>
      <c r="H1376" s="243">
        <f t="shared" si="44"/>
        <v>0</v>
      </c>
      <c r="I1376" s="123" t="str">
        <f t="shared" si="43"/>
        <v>07030110042030620</v>
      </c>
    </row>
    <row r="1377" spans="1:9">
      <c r="A1377" s="241" t="s">
        <v>2153</v>
      </c>
      <c r="B1377" s="242" t="s">
        <v>207</v>
      </c>
      <c r="C1377" s="242" t="s">
        <v>1078</v>
      </c>
      <c r="D1377" s="242" t="s">
        <v>1789</v>
      </c>
      <c r="E1377" s="242" t="s">
        <v>2154</v>
      </c>
      <c r="F1377" s="243">
        <v>29283.97</v>
      </c>
      <c r="G1377" s="243">
        <v>0</v>
      </c>
      <c r="H1377" s="243">
        <f t="shared" si="44"/>
        <v>0</v>
      </c>
      <c r="I1377" s="123" t="str">
        <f t="shared" si="43"/>
        <v>07030110042030623</v>
      </c>
    </row>
    <row r="1378" spans="1:9" ht="51">
      <c r="A1378" s="241" t="s">
        <v>1947</v>
      </c>
      <c r="B1378" s="242" t="s">
        <v>207</v>
      </c>
      <c r="C1378" s="242" t="s">
        <v>1078</v>
      </c>
      <c r="D1378" s="242" t="s">
        <v>1789</v>
      </c>
      <c r="E1378" s="242" t="s">
        <v>1725</v>
      </c>
      <c r="F1378" s="243">
        <v>165771.35</v>
      </c>
      <c r="G1378" s="243">
        <v>0</v>
      </c>
      <c r="H1378" s="243">
        <f t="shared" si="44"/>
        <v>0</v>
      </c>
      <c r="I1378" s="123" t="str">
        <f t="shared" si="43"/>
        <v>07030110042030630</v>
      </c>
    </row>
    <row r="1379" spans="1:9" ht="25.5">
      <c r="A1379" s="241" t="s">
        <v>1726</v>
      </c>
      <c r="B1379" s="242" t="s">
        <v>207</v>
      </c>
      <c r="C1379" s="242" t="s">
        <v>1078</v>
      </c>
      <c r="D1379" s="242" t="s">
        <v>1789</v>
      </c>
      <c r="E1379" s="242" t="s">
        <v>1727</v>
      </c>
      <c r="F1379" s="243">
        <v>165771.35</v>
      </c>
      <c r="G1379" s="243">
        <v>0</v>
      </c>
      <c r="H1379" s="243">
        <f t="shared" si="44"/>
        <v>0</v>
      </c>
      <c r="I1379" s="123" t="str">
        <f t="shared" si="43"/>
        <v>07030110042030633</v>
      </c>
    </row>
    <row r="1380" spans="1:9">
      <c r="A1380" s="241" t="s">
        <v>1321</v>
      </c>
      <c r="B1380" s="242" t="s">
        <v>207</v>
      </c>
      <c r="C1380" s="242" t="s">
        <v>1078</v>
      </c>
      <c r="D1380" s="242" t="s">
        <v>1789</v>
      </c>
      <c r="E1380" s="242" t="s">
        <v>1322</v>
      </c>
      <c r="F1380" s="243">
        <v>106156.97</v>
      </c>
      <c r="G1380" s="243">
        <v>0</v>
      </c>
      <c r="H1380" s="243">
        <f t="shared" si="44"/>
        <v>0</v>
      </c>
      <c r="I1380" s="123" t="str">
        <f t="shared" ref="I1380:I1443" si="45">CONCATENATE(C1380,D1380,E1380)</f>
        <v>07030110042030800</v>
      </c>
    </row>
    <row r="1381" spans="1:9" ht="51">
      <c r="A1381" s="241" t="s">
        <v>1206</v>
      </c>
      <c r="B1381" s="242" t="s">
        <v>207</v>
      </c>
      <c r="C1381" s="242" t="s">
        <v>1078</v>
      </c>
      <c r="D1381" s="242" t="s">
        <v>1789</v>
      </c>
      <c r="E1381" s="242" t="s">
        <v>354</v>
      </c>
      <c r="F1381" s="243">
        <v>106156.97</v>
      </c>
      <c r="G1381" s="243">
        <v>0</v>
      </c>
      <c r="H1381" s="243">
        <f t="shared" si="44"/>
        <v>0</v>
      </c>
      <c r="I1381" s="123" t="str">
        <f t="shared" si="45"/>
        <v>07030110042030810</v>
      </c>
    </row>
    <row r="1382" spans="1:9" ht="51">
      <c r="A1382" s="241" t="s">
        <v>1342</v>
      </c>
      <c r="B1382" s="242" t="s">
        <v>207</v>
      </c>
      <c r="C1382" s="242" t="s">
        <v>1078</v>
      </c>
      <c r="D1382" s="242" t="s">
        <v>1789</v>
      </c>
      <c r="E1382" s="242" t="s">
        <v>1343</v>
      </c>
      <c r="F1382" s="243">
        <v>106156.97</v>
      </c>
      <c r="G1382" s="243">
        <v>0</v>
      </c>
      <c r="H1382" s="243">
        <f t="shared" si="44"/>
        <v>0</v>
      </c>
      <c r="I1382" s="123" t="str">
        <f t="shared" si="45"/>
        <v>07030110042030813</v>
      </c>
    </row>
    <row r="1383" spans="1:9" ht="114.75">
      <c r="A1383" s="241" t="s">
        <v>577</v>
      </c>
      <c r="B1383" s="242" t="s">
        <v>207</v>
      </c>
      <c r="C1383" s="242" t="s">
        <v>1078</v>
      </c>
      <c r="D1383" s="242" t="s">
        <v>756</v>
      </c>
      <c r="E1383" s="242"/>
      <c r="F1383" s="243">
        <v>78700</v>
      </c>
      <c r="G1383" s="243">
        <v>78700</v>
      </c>
      <c r="H1383" s="243">
        <f t="shared" si="44"/>
        <v>100</v>
      </c>
      <c r="I1383" s="123" t="str">
        <f t="shared" si="45"/>
        <v>07030110045030</v>
      </c>
    </row>
    <row r="1384" spans="1:9" ht="25.5">
      <c r="A1384" s="241" t="s">
        <v>1327</v>
      </c>
      <c r="B1384" s="242" t="s">
        <v>207</v>
      </c>
      <c r="C1384" s="242" t="s">
        <v>1078</v>
      </c>
      <c r="D1384" s="242" t="s">
        <v>756</v>
      </c>
      <c r="E1384" s="242" t="s">
        <v>1328</v>
      </c>
      <c r="F1384" s="243">
        <v>78700</v>
      </c>
      <c r="G1384" s="243">
        <v>78700</v>
      </c>
      <c r="H1384" s="243">
        <f t="shared" si="44"/>
        <v>100</v>
      </c>
      <c r="I1384" s="123" t="str">
        <f t="shared" si="45"/>
        <v>07030110045030600</v>
      </c>
    </row>
    <row r="1385" spans="1:9">
      <c r="A1385" s="241" t="s">
        <v>1198</v>
      </c>
      <c r="B1385" s="242" t="s">
        <v>207</v>
      </c>
      <c r="C1385" s="242" t="s">
        <v>1078</v>
      </c>
      <c r="D1385" s="242" t="s">
        <v>756</v>
      </c>
      <c r="E1385" s="242" t="s">
        <v>1199</v>
      </c>
      <c r="F1385" s="243">
        <v>78700</v>
      </c>
      <c r="G1385" s="243">
        <v>78700</v>
      </c>
      <c r="H1385" s="243">
        <f t="shared" si="44"/>
        <v>100</v>
      </c>
      <c r="I1385" s="123" t="str">
        <f t="shared" si="45"/>
        <v>07030110045030610</v>
      </c>
    </row>
    <row r="1386" spans="1:9" ht="51">
      <c r="A1386" s="241" t="s">
        <v>347</v>
      </c>
      <c r="B1386" s="242" t="s">
        <v>207</v>
      </c>
      <c r="C1386" s="242" t="s">
        <v>1078</v>
      </c>
      <c r="D1386" s="242" t="s">
        <v>756</v>
      </c>
      <c r="E1386" s="242" t="s">
        <v>348</v>
      </c>
      <c r="F1386" s="243">
        <v>78700</v>
      </c>
      <c r="G1386" s="243">
        <v>78700</v>
      </c>
      <c r="H1386" s="243">
        <f t="shared" si="44"/>
        <v>100</v>
      </c>
      <c r="I1386" s="123" t="str">
        <f t="shared" si="45"/>
        <v>07030110045030611</v>
      </c>
    </row>
    <row r="1387" spans="1:9" ht="102">
      <c r="A1387" s="241" t="s">
        <v>579</v>
      </c>
      <c r="B1387" s="242" t="s">
        <v>207</v>
      </c>
      <c r="C1387" s="242" t="s">
        <v>1078</v>
      </c>
      <c r="D1387" s="242" t="s">
        <v>759</v>
      </c>
      <c r="E1387" s="242"/>
      <c r="F1387" s="243">
        <v>580160</v>
      </c>
      <c r="G1387" s="243">
        <v>428875.65</v>
      </c>
      <c r="H1387" s="243">
        <f t="shared" si="44"/>
        <v>73.923684845559848</v>
      </c>
      <c r="I1387" s="123" t="str">
        <f t="shared" si="45"/>
        <v>07030110047030</v>
      </c>
    </row>
    <row r="1388" spans="1:9" ht="25.5">
      <c r="A1388" s="241" t="s">
        <v>1327</v>
      </c>
      <c r="B1388" s="242" t="s">
        <v>207</v>
      </c>
      <c r="C1388" s="242" t="s">
        <v>1078</v>
      </c>
      <c r="D1388" s="242" t="s">
        <v>759</v>
      </c>
      <c r="E1388" s="242" t="s">
        <v>1328</v>
      </c>
      <c r="F1388" s="243">
        <v>580160</v>
      </c>
      <c r="G1388" s="243">
        <v>428875.65</v>
      </c>
      <c r="H1388" s="243">
        <f t="shared" si="44"/>
        <v>73.923684845559848</v>
      </c>
      <c r="I1388" s="123" t="str">
        <f t="shared" si="45"/>
        <v>07030110047030600</v>
      </c>
    </row>
    <row r="1389" spans="1:9">
      <c r="A1389" s="241" t="s">
        <v>1198</v>
      </c>
      <c r="B1389" s="242" t="s">
        <v>207</v>
      </c>
      <c r="C1389" s="242" t="s">
        <v>1078</v>
      </c>
      <c r="D1389" s="242" t="s">
        <v>759</v>
      </c>
      <c r="E1389" s="242" t="s">
        <v>1199</v>
      </c>
      <c r="F1389" s="243">
        <v>580160</v>
      </c>
      <c r="G1389" s="243">
        <v>428875.65</v>
      </c>
      <c r="H1389" s="243">
        <f t="shared" si="44"/>
        <v>73.923684845559848</v>
      </c>
      <c r="I1389" s="123" t="str">
        <f t="shared" si="45"/>
        <v>07030110047030610</v>
      </c>
    </row>
    <row r="1390" spans="1:9">
      <c r="A1390" s="241" t="s">
        <v>366</v>
      </c>
      <c r="B1390" s="242" t="s">
        <v>207</v>
      </c>
      <c r="C1390" s="242" t="s">
        <v>1078</v>
      </c>
      <c r="D1390" s="242" t="s">
        <v>759</v>
      </c>
      <c r="E1390" s="242" t="s">
        <v>367</v>
      </c>
      <c r="F1390" s="243">
        <v>580160</v>
      </c>
      <c r="G1390" s="243">
        <v>428875.65</v>
      </c>
      <c r="H1390" s="243">
        <f t="shared" si="44"/>
        <v>73.923684845559848</v>
      </c>
      <c r="I1390" s="123" t="str">
        <f t="shared" si="45"/>
        <v>07030110047030612</v>
      </c>
    </row>
    <row r="1391" spans="1:9" ht="114.75">
      <c r="A1391" s="241" t="s">
        <v>581</v>
      </c>
      <c r="B1391" s="242" t="s">
        <v>207</v>
      </c>
      <c r="C1391" s="242" t="s">
        <v>1078</v>
      </c>
      <c r="D1391" s="242" t="s">
        <v>760</v>
      </c>
      <c r="E1391" s="242"/>
      <c r="F1391" s="243">
        <v>2978606</v>
      </c>
      <c r="G1391" s="243">
        <v>2978606</v>
      </c>
      <c r="H1391" s="243">
        <f t="shared" si="44"/>
        <v>100</v>
      </c>
      <c r="I1391" s="123" t="str">
        <f t="shared" si="45"/>
        <v>0703011004Г030</v>
      </c>
    </row>
    <row r="1392" spans="1:9" ht="25.5">
      <c r="A1392" s="241" t="s">
        <v>1327</v>
      </c>
      <c r="B1392" s="242" t="s">
        <v>207</v>
      </c>
      <c r="C1392" s="242" t="s">
        <v>1078</v>
      </c>
      <c r="D1392" s="242" t="s">
        <v>760</v>
      </c>
      <c r="E1392" s="242" t="s">
        <v>1328</v>
      </c>
      <c r="F1392" s="243">
        <v>2978606</v>
      </c>
      <c r="G1392" s="243">
        <v>2978606</v>
      </c>
      <c r="H1392" s="243">
        <f t="shared" si="44"/>
        <v>100</v>
      </c>
      <c r="I1392" s="123" t="str">
        <f t="shared" si="45"/>
        <v>0703011004Г030600</v>
      </c>
    </row>
    <row r="1393" spans="1:9">
      <c r="A1393" s="241" t="s">
        <v>1198</v>
      </c>
      <c r="B1393" s="242" t="s">
        <v>207</v>
      </c>
      <c r="C1393" s="242" t="s">
        <v>1078</v>
      </c>
      <c r="D1393" s="242" t="s">
        <v>760</v>
      </c>
      <c r="E1393" s="242" t="s">
        <v>1199</v>
      </c>
      <c r="F1393" s="243">
        <v>2978606</v>
      </c>
      <c r="G1393" s="243">
        <v>2978606</v>
      </c>
      <c r="H1393" s="243">
        <f t="shared" si="44"/>
        <v>100</v>
      </c>
      <c r="I1393" s="123" t="str">
        <f t="shared" si="45"/>
        <v>0703011004Г030610</v>
      </c>
    </row>
    <row r="1394" spans="1:9" ht="51">
      <c r="A1394" s="241" t="s">
        <v>347</v>
      </c>
      <c r="B1394" s="242" t="s">
        <v>207</v>
      </c>
      <c r="C1394" s="242" t="s">
        <v>1078</v>
      </c>
      <c r="D1394" s="242" t="s">
        <v>760</v>
      </c>
      <c r="E1394" s="242" t="s">
        <v>348</v>
      </c>
      <c r="F1394" s="243">
        <v>2978606</v>
      </c>
      <c r="G1394" s="243">
        <v>2978606</v>
      </c>
      <c r="H1394" s="243">
        <f t="shared" si="44"/>
        <v>100</v>
      </c>
      <c r="I1394" s="123" t="str">
        <f t="shared" si="45"/>
        <v>0703011004Г030611</v>
      </c>
    </row>
    <row r="1395" spans="1:9" ht="114.75">
      <c r="A1395" s="241" t="s">
        <v>1847</v>
      </c>
      <c r="B1395" s="242" t="s">
        <v>207</v>
      </c>
      <c r="C1395" s="242" t="s">
        <v>1078</v>
      </c>
      <c r="D1395" s="242" t="s">
        <v>1848</v>
      </c>
      <c r="E1395" s="242"/>
      <c r="F1395" s="243">
        <v>37200</v>
      </c>
      <c r="G1395" s="243">
        <v>37200</v>
      </c>
      <c r="H1395" s="243">
        <f t="shared" si="44"/>
        <v>100</v>
      </c>
      <c r="I1395" s="123" t="str">
        <f t="shared" si="45"/>
        <v>0703011004М030</v>
      </c>
    </row>
    <row r="1396" spans="1:9" ht="25.5">
      <c r="A1396" s="241" t="s">
        <v>1327</v>
      </c>
      <c r="B1396" s="242" t="s">
        <v>207</v>
      </c>
      <c r="C1396" s="242" t="s">
        <v>1078</v>
      </c>
      <c r="D1396" s="242" t="s">
        <v>1848</v>
      </c>
      <c r="E1396" s="242" t="s">
        <v>1328</v>
      </c>
      <c r="F1396" s="243">
        <v>37200</v>
      </c>
      <c r="G1396" s="243">
        <v>37200</v>
      </c>
      <c r="H1396" s="243">
        <f t="shared" si="44"/>
        <v>100</v>
      </c>
      <c r="I1396" s="123" t="str">
        <f t="shared" si="45"/>
        <v>0703011004М030600</v>
      </c>
    </row>
    <row r="1397" spans="1:9">
      <c r="A1397" s="241" t="s">
        <v>1198</v>
      </c>
      <c r="B1397" s="242" t="s">
        <v>207</v>
      </c>
      <c r="C1397" s="242" t="s">
        <v>1078</v>
      </c>
      <c r="D1397" s="242" t="s">
        <v>1848</v>
      </c>
      <c r="E1397" s="242" t="s">
        <v>1199</v>
      </c>
      <c r="F1397" s="243">
        <v>37200</v>
      </c>
      <c r="G1397" s="243">
        <v>37200</v>
      </c>
      <c r="H1397" s="243">
        <f t="shared" si="44"/>
        <v>100</v>
      </c>
      <c r="I1397" s="123" t="str">
        <f t="shared" si="45"/>
        <v>0703011004М030610</v>
      </c>
    </row>
    <row r="1398" spans="1:9" ht="51">
      <c r="A1398" s="241" t="s">
        <v>347</v>
      </c>
      <c r="B1398" s="242" t="s">
        <v>207</v>
      </c>
      <c r="C1398" s="242" t="s">
        <v>1078</v>
      </c>
      <c r="D1398" s="242" t="s">
        <v>1848</v>
      </c>
      <c r="E1398" s="242" t="s">
        <v>348</v>
      </c>
      <c r="F1398" s="243">
        <v>37200</v>
      </c>
      <c r="G1398" s="243">
        <v>37200</v>
      </c>
      <c r="H1398" s="243">
        <f t="shared" si="44"/>
        <v>100</v>
      </c>
      <c r="I1398" s="123" t="str">
        <f t="shared" si="45"/>
        <v>0703011004М030611</v>
      </c>
    </row>
    <row r="1399" spans="1:9" ht="102">
      <c r="A1399" s="241" t="s">
        <v>966</v>
      </c>
      <c r="B1399" s="242" t="s">
        <v>207</v>
      </c>
      <c r="C1399" s="242" t="s">
        <v>1078</v>
      </c>
      <c r="D1399" s="242" t="s">
        <v>967</v>
      </c>
      <c r="E1399" s="242"/>
      <c r="F1399" s="243">
        <v>345888.01</v>
      </c>
      <c r="G1399" s="243">
        <v>345888.01</v>
      </c>
      <c r="H1399" s="243">
        <f t="shared" si="44"/>
        <v>100</v>
      </c>
      <c r="I1399" s="123" t="str">
        <f t="shared" si="45"/>
        <v>0703011004Э030</v>
      </c>
    </row>
    <row r="1400" spans="1:9" ht="25.5">
      <c r="A1400" s="241" t="s">
        <v>1327</v>
      </c>
      <c r="B1400" s="242" t="s">
        <v>207</v>
      </c>
      <c r="C1400" s="242" t="s">
        <v>1078</v>
      </c>
      <c r="D1400" s="242" t="s">
        <v>967</v>
      </c>
      <c r="E1400" s="242" t="s">
        <v>1328</v>
      </c>
      <c r="F1400" s="243">
        <v>345888.01</v>
      </c>
      <c r="G1400" s="243">
        <v>345888.01</v>
      </c>
      <c r="H1400" s="243">
        <f t="shared" si="44"/>
        <v>100</v>
      </c>
      <c r="I1400" s="123" t="str">
        <f t="shared" si="45"/>
        <v>0703011004Э030600</v>
      </c>
    </row>
    <row r="1401" spans="1:9">
      <c r="A1401" s="241" t="s">
        <v>1198</v>
      </c>
      <c r="B1401" s="242" t="s">
        <v>207</v>
      </c>
      <c r="C1401" s="242" t="s">
        <v>1078</v>
      </c>
      <c r="D1401" s="242" t="s">
        <v>967</v>
      </c>
      <c r="E1401" s="242" t="s">
        <v>1199</v>
      </c>
      <c r="F1401" s="243">
        <v>345888.01</v>
      </c>
      <c r="G1401" s="243">
        <v>345888.01</v>
      </c>
      <c r="H1401" s="243">
        <f t="shared" si="44"/>
        <v>100</v>
      </c>
      <c r="I1401" s="123" t="str">
        <f t="shared" si="45"/>
        <v>0703011004Э030610</v>
      </c>
    </row>
    <row r="1402" spans="1:9" ht="51">
      <c r="A1402" s="241" t="s">
        <v>347</v>
      </c>
      <c r="B1402" s="242" t="s">
        <v>207</v>
      </c>
      <c r="C1402" s="242" t="s">
        <v>1078</v>
      </c>
      <c r="D1402" s="242" t="s">
        <v>967</v>
      </c>
      <c r="E1402" s="242" t="s">
        <v>348</v>
      </c>
      <c r="F1402" s="243">
        <v>345888.01</v>
      </c>
      <c r="G1402" s="243">
        <v>345888.01</v>
      </c>
      <c r="H1402" s="243">
        <f t="shared" si="44"/>
        <v>100</v>
      </c>
      <c r="I1402" s="123" t="str">
        <f t="shared" si="45"/>
        <v>0703011004Э030611</v>
      </c>
    </row>
    <row r="1403" spans="1:9" ht="242.25">
      <c r="A1403" s="241" t="s">
        <v>1357</v>
      </c>
      <c r="B1403" s="242" t="s">
        <v>207</v>
      </c>
      <c r="C1403" s="242" t="s">
        <v>1078</v>
      </c>
      <c r="D1403" s="242" t="s">
        <v>747</v>
      </c>
      <c r="E1403" s="242"/>
      <c r="F1403" s="243">
        <v>18184775</v>
      </c>
      <c r="G1403" s="243">
        <v>18057867.140000001</v>
      </c>
      <c r="H1403" s="243">
        <f t="shared" si="44"/>
        <v>99.302120262692284</v>
      </c>
      <c r="I1403" s="123" t="str">
        <f t="shared" si="45"/>
        <v>07030110075640</v>
      </c>
    </row>
    <row r="1404" spans="1:9" ht="63.75">
      <c r="A1404" s="241" t="s">
        <v>1318</v>
      </c>
      <c r="B1404" s="242" t="s">
        <v>207</v>
      </c>
      <c r="C1404" s="242" t="s">
        <v>1078</v>
      </c>
      <c r="D1404" s="242" t="s">
        <v>747</v>
      </c>
      <c r="E1404" s="242" t="s">
        <v>273</v>
      </c>
      <c r="F1404" s="243">
        <v>9075990.9000000004</v>
      </c>
      <c r="G1404" s="243">
        <v>8949297.0399999991</v>
      </c>
      <c r="H1404" s="243">
        <f t="shared" si="44"/>
        <v>98.604076828679936</v>
      </c>
      <c r="I1404" s="123" t="str">
        <f t="shared" si="45"/>
        <v>07030110075640100</v>
      </c>
    </row>
    <row r="1405" spans="1:9">
      <c r="A1405" s="241" t="s">
        <v>1190</v>
      </c>
      <c r="B1405" s="242" t="s">
        <v>207</v>
      </c>
      <c r="C1405" s="242" t="s">
        <v>1078</v>
      </c>
      <c r="D1405" s="242" t="s">
        <v>747</v>
      </c>
      <c r="E1405" s="242" t="s">
        <v>133</v>
      </c>
      <c r="F1405" s="243">
        <v>9075990.9000000004</v>
      </c>
      <c r="G1405" s="243">
        <v>8949297.0399999991</v>
      </c>
      <c r="H1405" s="243">
        <f t="shared" si="44"/>
        <v>98.604076828679936</v>
      </c>
      <c r="I1405" s="123" t="str">
        <f t="shared" si="45"/>
        <v>07030110075640110</v>
      </c>
    </row>
    <row r="1406" spans="1:9">
      <c r="A1406" s="241" t="s">
        <v>1138</v>
      </c>
      <c r="B1406" s="242" t="s">
        <v>207</v>
      </c>
      <c r="C1406" s="242" t="s">
        <v>1078</v>
      </c>
      <c r="D1406" s="242" t="s">
        <v>747</v>
      </c>
      <c r="E1406" s="242" t="s">
        <v>342</v>
      </c>
      <c r="F1406" s="243">
        <v>6945355</v>
      </c>
      <c r="G1406" s="243">
        <v>6857084.7800000003</v>
      </c>
      <c r="H1406" s="243">
        <f t="shared" si="44"/>
        <v>98.729075475623645</v>
      </c>
      <c r="I1406" s="123" t="str">
        <f t="shared" si="45"/>
        <v>07030110075640111</v>
      </c>
    </row>
    <row r="1407" spans="1:9" ht="25.5">
      <c r="A1407" s="241" t="s">
        <v>1147</v>
      </c>
      <c r="B1407" s="242" t="s">
        <v>207</v>
      </c>
      <c r="C1407" s="242" t="s">
        <v>1078</v>
      </c>
      <c r="D1407" s="242" t="s">
        <v>747</v>
      </c>
      <c r="E1407" s="242" t="s">
        <v>391</v>
      </c>
      <c r="F1407" s="243">
        <v>29000.799999999999</v>
      </c>
      <c r="G1407" s="243">
        <v>29000</v>
      </c>
      <c r="H1407" s="243">
        <f t="shared" si="44"/>
        <v>99.99724145540813</v>
      </c>
      <c r="I1407" s="123" t="str">
        <f t="shared" si="45"/>
        <v>07030110075640112</v>
      </c>
    </row>
    <row r="1408" spans="1:9" ht="38.25">
      <c r="A1408" s="241" t="s">
        <v>1139</v>
      </c>
      <c r="B1408" s="242" t="s">
        <v>207</v>
      </c>
      <c r="C1408" s="242" t="s">
        <v>1078</v>
      </c>
      <c r="D1408" s="242" t="s">
        <v>747</v>
      </c>
      <c r="E1408" s="242" t="s">
        <v>1056</v>
      </c>
      <c r="F1408" s="243">
        <v>2101635.1</v>
      </c>
      <c r="G1408" s="243">
        <v>2063212.26</v>
      </c>
      <c r="H1408" s="243">
        <f t="shared" si="44"/>
        <v>98.171764451402623</v>
      </c>
      <c r="I1408" s="123" t="str">
        <f t="shared" si="45"/>
        <v>07030110075640119</v>
      </c>
    </row>
    <row r="1409" spans="1:9" ht="25.5">
      <c r="A1409" s="241" t="s">
        <v>1319</v>
      </c>
      <c r="B1409" s="242" t="s">
        <v>207</v>
      </c>
      <c r="C1409" s="242" t="s">
        <v>1078</v>
      </c>
      <c r="D1409" s="242" t="s">
        <v>747</v>
      </c>
      <c r="E1409" s="242" t="s">
        <v>1320</v>
      </c>
      <c r="F1409" s="243">
        <v>9108784.0999999996</v>
      </c>
      <c r="G1409" s="243">
        <v>9108570.0999999996</v>
      </c>
      <c r="H1409" s="243">
        <f t="shared" si="44"/>
        <v>99.997650619471813</v>
      </c>
      <c r="I1409" s="123" t="str">
        <f t="shared" si="45"/>
        <v>07030110075640200</v>
      </c>
    </row>
    <row r="1410" spans="1:9" ht="25.5">
      <c r="A1410" s="241" t="s">
        <v>1196</v>
      </c>
      <c r="B1410" s="242" t="s">
        <v>207</v>
      </c>
      <c r="C1410" s="242" t="s">
        <v>1078</v>
      </c>
      <c r="D1410" s="242" t="s">
        <v>747</v>
      </c>
      <c r="E1410" s="242" t="s">
        <v>1197</v>
      </c>
      <c r="F1410" s="243">
        <v>9108784.0999999996</v>
      </c>
      <c r="G1410" s="243">
        <v>9108570.0999999996</v>
      </c>
      <c r="H1410" s="243">
        <f t="shared" si="44"/>
        <v>99.997650619471813</v>
      </c>
      <c r="I1410" s="123" t="str">
        <f t="shared" si="45"/>
        <v>07030110075640240</v>
      </c>
    </row>
    <row r="1411" spans="1:9">
      <c r="A1411" s="241" t="s">
        <v>1223</v>
      </c>
      <c r="B1411" s="242" t="s">
        <v>207</v>
      </c>
      <c r="C1411" s="242" t="s">
        <v>1078</v>
      </c>
      <c r="D1411" s="242" t="s">
        <v>747</v>
      </c>
      <c r="E1411" s="242" t="s">
        <v>329</v>
      </c>
      <c r="F1411" s="243">
        <v>9108784.0999999996</v>
      </c>
      <c r="G1411" s="243">
        <v>9108570.0999999996</v>
      </c>
      <c r="H1411" s="243">
        <f t="shared" ref="H1411:H1474" si="46">G1411/F1411*100</f>
        <v>99.997650619471813</v>
      </c>
      <c r="I1411" s="123" t="str">
        <f t="shared" si="45"/>
        <v>07030110075640244</v>
      </c>
    </row>
    <row r="1412" spans="1:9" ht="63.75">
      <c r="A1412" s="241" t="s">
        <v>411</v>
      </c>
      <c r="B1412" s="242" t="s">
        <v>207</v>
      </c>
      <c r="C1412" s="242" t="s">
        <v>1078</v>
      </c>
      <c r="D1412" s="242" t="s">
        <v>761</v>
      </c>
      <c r="E1412" s="242"/>
      <c r="F1412" s="243">
        <v>87181</v>
      </c>
      <c r="G1412" s="243">
        <v>87181</v>
      </c>
      <c r="H1412" s="243">
        <f t="shared" si="46"/>
        <v>100</v>
      </c>
      <c r="I1412" s="123" t="str">
        <f t="shared" si="45"/>
        <v>07030110080020</v>
      </c>
    </row>
    <row r="1413" spans="1:9" ht="25.5">
      <c r="A1413" s="241" t="s">
        <v>1327</v>
      </c>
      <c r="B1413" s="242" t="s">
        <v>207</v>
      </c>
      <c r="C1413" s="242" t="s">
        <v>1078</v>
      </c>
      <c r="D1413" s="242" t="s">
        <v>761</v>
      </c>
      <c r="E1413" s="242" t="s">
        <v>1328</v>
      </c>
      <c r="F1413" s="243">
        <v>87181</v>
      </c>
      <c r="G1413" s="243">
        <v>87181</v>
      </c>
      <c r="H1413" s="243">
        <f t="shared" si="46"/>
        <v>100</v>
      </c>
      <c r="I1413" s="123" t="str">
        <f t="shared" si="45"/>
        <v>07030110080020600</v>
      </c>
    </row>
    <row r="1414" spans="1:9">
      <c r="A1414" s="241" t="s">
        <v>1198</v>
      </c>
      <c r="B1414" s="242" t="s">
        <v>207</v>
      </c>
      <c r="C1414" s="242" t="s">
        <v>1078</v>
      </c>
      <c r="D1414" s="242" t="s">
        <v>761</v>
      </c>
      <c r="E1414" s="242" t="s">
        <v>1199</v>
      </c>
      <c r="F1414" s="243">
        <v>87181</v>
      </c>
      <c r="G1414" s="243">
        <v>87181</v>
      </c>
      <c r="H1414" s="243">
        <f t="shared" si="46"/>
        <v>100</v>
      </c>
      <c r="I1414" s="123" t="str">
        <f t="shared" si="45"/>
        <v>07030110080020610</v>
      </c>
    </row>
    <row r="1415" spans="1:9">
      <c r="A1415" s="241" t="s">
        <v>366</v>
      </c>
      <c r="B1415" s="242" t="s">
        <v>207</v>
      </c>
      <c r="C1415" s="242" t="s">
        <v>1078</v>
      </c>
      <c r="D1415" s="242" t="s">
        <v>761</v>
      </c>
      <c r="E1415" s="242" t="s">
        <v>367</v>
      </c>
      <c r="F1415" s="243">
        <v>87181</v>
      </c>
      <c r="G1415" s="243">
        <v>87181</v>
      </c>
      <c r="H1415" s="243">
        <f t="shared" si="46"/>
        <v>100</v>
      </c>
      <c r="I1415" s="123" t="str">
        <f t="shared" si="45"/>
        <v>07030110080020612</v>
      </c>
    </row>
    <row r="1416" spans="1:9" ht="25.5">
      <c r="A1416" s="241" t="s">
        <v>483</v>
      </c>
      <c r="B1416" s="242" t="s">
        <v>207</v>
      </c>
      <c r="C1416" s="242" t="s">
        <v>1078</v>
      </c>
      <c r="D1416" s="242" t="s">
        <v>993</v>
      </c>
      <c r="E1416" s="242"/>
      <c r="F1416" s="243">
        <v>80000</v>
      </c>
      <c r="G1416" s="243">
        <v>80000</v>
      </c>
      <c r="H1416" s="243">
        <f t="shared" si="46"/>
        <v>100</v>
      </c>
      <c r="I1416" s="123" t="str">
        <f t="shared" si="45"/>
        <v>07030900000000</v>
      </c>
    </row>
    <row r="1417" spans="1:9" ht="25.5">
      <c r="A1417" s="241" t="s">
        <v>488</v>
      </c>
      <c r="B1417" s="242" t="s">
        <v>207</v>
      </c>
      <c r="C1417" s="242" t="s">
        <v>1078</v>
      </c>
      <c r="D1417" s="242" t="s">
        <v>996</v>
      </c>
      <c r="E1417" s="242"/>
      <c r="F1417" s="243">
        <v>80000</v>
      </c>
      <c r="G1417" s="243">
        <v>80000</v>
      </c>
      <c r="H1417" s="243">
        <f t="shared" si="46"/>
        <v>100</v>
      </c>
      <c r="I1417" s="123" t="str">
        <f t="shared" si="45"/>
        <v>07030930000000</v>
      </c>
    </row>
    <row r="1418" spans="1:9" ht="51">
      <c r="A1418" s="241" t="s">
        <v>407</v>
      </c>
      <c r="B1418" s="242" t="s">
        <v>207</v>
      </c>
      <c r="C1418" s="242" t="s">
        <v>1078</v>
      </c>
      <c r="D1418" s="242" t="s">
        <v>1732</v>
      </c>
      <c r="E1418" s="242"/>
      <c r="F1418" s="243">
        <v>80000</v>
      </c>
      <c r="G1418" s="243">
        <v>80000</v>
      </c>
      <c r="H1418" s="243">
        <f t="shared" si="46"/>
        <v>100</v>
      </c>
      <c r="I1418" s="123" t="str">
        <f t="shared" si="45"/>
        <v>07030930080000</v>
      </c>
    </row>
    <row r="1419" spans="1:9" ht="25.5">
      <c r="A1419" s="241" t="s">
        <v>1327</v>
      </c>
      <c r="B1419" s="242" t="s">
        <v>207</v>
      </c>
      <c r="C1419" s="242" t="s">
        <v>1078</v>
      </c>
      <c r="D1419" s="242" t="s">
        <v>1732</v>
      </c>
      <c r="E1419" s="242" t="s">
        <v>1328</v>
      </c>
      <c r="F1419" s="243">
        <v>80000</v>
      </c>
      <c r="G1419" s="243">
        <v>80000</v>
      </c>
      <c r="H1419" s="243">
        <f t="shared" si="46"/>
        <v>100</v>
      </c>
      <c r="I1419" s="123" t="str">
        <f t="shared" si="45"/>
        <v>07030930080000600</v>
      </c>
    </row>
    <row r="1420" spans="1:9">
      <c r="A1420" s="241" t="s">
        <v>1198</v>
      </c>
      <c r="B1420" s="242" t="s">
        <v>207</v>
      </c>
      <c r="C1420" s="242" t="s">
        <v>1078</v>
      </c>
      <c r="D1420" s="242" t="s">
        <v>1732</v>
      </c>
      <c r="E1420" s="242" t="s">
        <v>1199</v>
      </c>
      <c r="F1420" s="243">
        <v>80000</v>
      </c>
      <c r="G1420" s="243">
        <v>80000</v>
      </c>
      <c r="H1420" s="243">
        <f t="shared" si="46"/>
        <v>100</v>
      </c>
      <c r="I1420" s="123" t="str">
        <f t="shared" si="45"/>
        <v>07030930080000610</v>
      </c>
    </row>
    <row r="1421" spans="1:9">
      <c r="A1421" s="241" t="s">
        <v>366</v>
      </c>
      <c r="B1421" s="242" t="s">
        <v>207</v>
      </c>
      <c r="C1421" s="242" t="s">
        <v>1078</v>
      </c>
      <c r="D1421" s="242" t="s">
        <v>1732</v>
      </c>
      <c r="E1421" s="242" t="s">
        <v>367</v>
      </c>
      <c r="F1421" s="243">
        <v>80000</v>
      </c>
      <c r="G1421" s="243">
        <v>80000</v>
      </c>
      <c r="H1421" s="243">
        <f t="shared" si="46"/>
        <v>100</v>
      </c>
      <c r="I1421" s="123" t="str">
        <f t="shared" si="45"/>
        <v>07030930080000612</v>
      </c>
    </row>
    <row r="1422" spans="1:9">
      <c r="A1422" s="241" t="s">
        <v>1075</v>
      </c>
      <c r="B1422" s="242" t="s">
        <v>207</v>
      </c>
      <c r="C1422" s="242" t="s">
        <v>365</v>
      </c>
      <c r="D1422" s="242"/>
      <c r="E1422" s="242"/>
      <c r="F1422" s="243">
        <v>20980107.489999998</v>
      </c>
      <c r="G1422" s="243">
        <v>20933372.609999999</v>
      </c>
      <c r="H1422" s="243">
        <f t="shared" si="46"/>
        <v>99.777241942052612</v>
      </c>
      <c r="I1422" s="123" t="str">
        <f t="shared" si="45"/>
        <v>0707</v>
      </c>
    </row>
    <row r="1423" spans="1:9" ht="25.5">
      <c r="A1423" s="241" t="s">
        <v>442</v>
      </c>
      <c r="B1423" s="242" t="s">
        <v>207</v>
      </c>
      <c r="C1423" s="242" t="s">
        <v>365</v>
      </c>
      <c r="D1423" s="242" t="s">
        <v>971</v>
      </c>
      <c r="E1423" s="242"/>
      <c r="F1423" s="243">
        <v>20980107.489999998</v>
      </c>
      <c r="G1423" s="243">
        <v>20933372.609999999</v>
      </c>
      <c r="H1423" s="243">
        <f t="shared" si="46"/>
        <v>99.777241942052612</v>
      </c>
      <c r="I1423" s="123" t="str">
        <f t="shared" si="45"/>
        <v>07070100000000</v>
      </c>
    </row>
    <row r="1424" spans="1:9" ht="25.5">
      <c r="A1424" s="241" t="s">
        <v>443</v>
      </c>
      <c r="B1424" s="242" t="s">
        <v>207</v>
      </c>
      <c r="C1424" s="242" t="s">
        <v>365</v>
      </c>
      <c r="D1424" s="242" t="s">
        <v>972</v>
      </c>
      <c r="E1424" s="242"/>
      <c r="F1424" s="243">
        <v>20682059.559999999</v>
      </c>
      <c r="G1424" s="243">
        <v>20635324.68</v>
      </c>
      <c r="H1424" s="243">
        <f t="shared" si="46"/>
        <v>99.774031788930799</v>
      </c>
      <c r="I1424" s="123" t="str">
        <f t="shared" si="45"/>
        <v>07070110000000</v>
      </c>
    </row>
    <row r="1425" spans="1:9" ht="89.25">
      <c r="A1425" s="241" t="s">
        <v>2090</v>
      </c>
      <c r="B1425" s="242" t="s">
        <v>207</v>
      </c>
      <c r="C1425" s="242" t="s">
        <v>365</v>
      </c>
      <c r="D1425" s="242" t="s">
        <v>2091</v>
      </c>
      <c r="E1425" s="242"/>
      <c r="F1425" s="243">
        <v>64000</v>
      </c>
      <c r="G1425" s="243">
        <v>64000</v>
      </c>
      <c r="H1425" s="243">
        <f t="shared" si="46"/>
        <v>100</v>
      </c>
      <c r="I1425" s="123" t="str">
        <f t="shared" si="45"/>
        <v>07070110027242</v>
      </c>
    </row>
    <row r="1426" spans="1:9" ht="25.5">
      <c r="A1426" s="241" t="s">
        <v>1327</v>
      </c>
      <c r="B1426" s="242" t="s">
        <v>207</v>
      </c>
      <c r="C1426" s="242" t="s">
        <v>365</v>
      </c>
      <c r="D1426" s="242" t="s">
        <v>2091</v>
      </c>
      <c r="E1426" s="242" t="s">
        <v>1328</v>
      </c>
      <c r="F1426" s="243">
        <v>64000</v>
      </c>
      <c r="G1426" s="243">
        <v>64000</v>
      </c>
      <c r="H1426" s="243">
        <f t="shared" si="46"/>
        <v>100</v>
      </c>
      <c r="I1426" s="123" t="str">
        <f t="shared" si="45"/>
        <v>07070110027242600</v>
      </c>
    </row>
    <row r="1427" spans="1:9">
      <c r="A1427" s="241" t="s">
        <v>1198</v>
      </c>
      <c r="B1427" s="242" t="s">
        <v>207</v>
      </c>
      <c r="C1427" s="242" t="s">
        <v>365</v>
      </c>
      <c r="D1427" s="242" t="s">
        <v>2091</v>
      </c>
      <c r="E1427" s="242" t="s">
        <v>1199</v>
      </c>
      <c r="F1427" s="243">
        <v>64000</v>
      </c>
      <c r="G1427" s="243">
        <v>64000</v>
      </c>
      <c r="H1427" s="243">
        <f t="shared" si="46"/>
        <v>100</v>
      </c>
      <c r="I1427" s="123" t="str">
        <f t="shared" si="45"/>
        <v>07070110027242610</v>
      </c>
    </row>
    <row r="1428" spans="1:9" ht="51">
      <c r="A1428" s="241" t="s">
        <v>347</v>
      </c>
      <c r="B1428" s="242" t="s">
        <v>207</v>
      </c>
      <c r="C1428" s="242" t="s">
        <v>365</v>
      </c>
      <c r="D1428" s="242" t="s">
        <v>2091</v>
      </c>
      <c r="E1428" s="242" t="s">
        <v>348</v>
      </c>
      <c r="F1428" s="243">
        <v>64000</v>
      </c>
      <c r="G1428" s="243">
        <v>64000</v>
      </c>
      <c r="H1428" s="243">
        <f t="shared" si="46"/>
        <v>100</v>
      </c>
      <c r="I1428" s="123" t="str">
        <f t="shared" si="45"/>
        <v>07070110027242611</v>
      </c>
    </row>
    <row r="1429" spans="1:9" ht="114.75">
      <c r="A1429" s="241" t="s">
        <v>417</v>
      </c>
      <c r="B1429" s="242" t="s">
        <v>207</v>
      </c>
      <c r="C1429" s="242" t="s">
        <v>365</v>
      </c>
      <c r="D1429" s="242" t="s">
        <v>767</v>
      </c>
      <c r="E1429" s="242"/>
      <c r="F1429" s="243">
        <v>1298000</v>
      </c>
      <c r="G1429" s="243">
        <v>1298000</v>
      </c>
      <c r="H1429" s="243">
        <f t="shared" si="46"/>
        <v>100</v>
      </c>
      <c r="I1429" s="123" t="str">
        <f t="shared" si="45"/>
        <v>07070110040040</v>
      </c>
    </row>
    <row r="1430" spans="1:9" ht="25.5">
      <c r="A1430" s="241" t="s">
        <v>1327</v>
      </c>
      <c r="B1430" s="242" t="s">
        <v>207</v>
      </c>
      <c r="C1430" s="242" t="s">
        <v>365</v>
      </c>
      <c r="D1430" s="242" t="s">
        <v>767</v>
      </c>
      <c r="E1430" s="242" t="s">
        <v>1328</v>
      </c>
      <c r="F1430" s="243">
        <v>1298000</v>
      </c>
      <c r="G1430" s="243">
        <v>1298000</v>
      </c>
      <c r="H1430" s="243">
        <f t="shared" si="46"/>
        <v>100</v>
      </c>
      <c r="I1430" s="123" t="str">
        <f t="shared" si="45"/>
        <v>07070110040040600</v>
      </c>
    </row>
    <row r="1431" spans="1:9">
      <c r="A1431" s="241" t="s">
        <v>1198</v>
      </c>
      <c r="B1431" s="242" t="s">
        <v>207</v>
      </c>
      <c r="C1431" s="242" t="s">
        <v>365</v>
      </c>
      <c r="D1431" s="242" t="s">
        <v>767</v>
      </c>
      <c r="E1431" s="242" t="s">
        <v>1199</v>
      </c>
      <c r="F1431" s="243">
        <v>1298000</v>
      </c>
      <c r="G1431" s="243">
        <v>1298000</v>
      </c>
      <c r="H1431" s="243">
        <f t="shared" si="46"/>
        <v>100</v>
      </c>
      <c r="I1431" s="123" t="str">
        <f t="shared" si="45"/>
        <v>07070110040040610</v>
      </c>
    </row>
    <row r="1432" spans="1:9" ht="51">
      <c r="A1432" s="241" t="s">
        <v>347</v>
      </c>
      <c r="B1432" s="242" t="s">
        <v>207</v>
      </c>
      <c r="C1432" s="242" t="s">
        <v>365</v>
      </c>
      <c r="D1432" s="242" t="s">
        <v>767</v>
      </c>
      <c r="E1432" s="242" t="s">
        <v>348</v>
      </c>
      <c r="F1432" s="243">
        <v>1298000</v>
      </c>
      <c r="G1432" s="243">
        <v>1298000</v>
      </c>
      <c r="H1432" s="243">
        <f t="shared" si="46"/>
        <v>100</v>
      </c>
      <c r="I1432" s="123" t="str">
        <f t="shared" si="45"/>
        <v>07070110040040611</v>
      </c>
    </row>
    <row r="1433" spans="1:9" ht="140.25">
      <c r="A1433" s="241" t="s">
        <v>418</v>
      </c>
      <c r="B1433" s="242" t="s">
        <v>207</v>
      </c>
      <c r="C1433" s="242" t="s">
        <v>365</v>
      </c>
      <c r="D1433" s="242" t="s">
        <v>768</v>
      </c>
      <c r="E1433" s="242"/>
      <c r="F1433" s="243">
        <v>1690000</v>
      </c>
      <c r="G1433" s="243">
        <v>1690000</v>
      </c>
      <c r="H1433" s="243">
        <f t="shared" si="46"/>
        <v>100</v>
      </c>
      <c r="I1433" s="123" t="str">
        <f t="shared" si="45"/>
        <v>07070110041040</v>
      </c>
    </row>
    <row r="1434" spans="1:9" ht="25.5">
      <c r="A1434" s="241" t="s">
        <v>1327</v>
      </c>
      <c r="B1434" s="242" t="s">
        <v>207</v>
      </c>
      <c r="C1434" s="242" t="s">
        <v>365</v>
      </c>
      <c r="D1434" s="242" t="s">
        <v>768</v>
      </c>
      <c r="E1434" s="242" t="s">
        <v>1328</v>
      </c>
      <c r="F1434" s="243">
        <v>1690000</v>
      </c>
      <c r="G1434" s="243">
        <v>1690000</v>
      </c>
      <c r="H1434" s="243">
        <f t="shared" si="46"/>
        <v>100</v>
      </c>
      <c r="I1434" s="123" t="str">
        <f t="shared" si="45"/>
        <v>07070110041040600</v>
      </c>
    </row>
    <row r="1435" spans="1:9">
      <c r="A1435" s="241" t="s">
        <v>1198</v>
      </c>
      <c r="B1435" s="242" t="s">
        <v>207</v>
      </c>
      <c r="C1435" s="242" t="s">
        <v>365</v>
      </c>
      <c r="D1435" s="242" t="s">
        <v>768</v>
      </c>
      <c r="E1435" s="242" t="s">
        <v>1199</v>
      </c>
      <c r="F1435" s="243">
        <v>1690000</v>
      </c>
      <c r="G1435" s="243">
        <v>1690000</v>
      </c>
      <c r="H1435" s="243">
        <f t="shared" si="46"/>
        <v>100</v>
      </c>
      <c r="I1435" s="123" t="str">
        <f t="shared" si="45"/>
        <v>07070110041040610</v>
      </c>
    </row>
    <row r="1436" spans="1:9" ht="51">
      <c r="A1436" s="241" t="s">
        <v>347</v>
      </c>
      <c r="B1436" s="242" t="s">
        <v>207</v>
      </c>
      <c r="C1436" s="242" t="s">
        <v>365</v>
      </c>
      <c r="D1436" s="242" t="s">
        <v>768</v>
      </c>
      <c r="E1436" s="242" t="s">
        <v>348</v>
      </c>
      <c r="F1436" s="243">
        <v>1690000</v>
      </c>
      <c r="G1436" s="243">
        <v>1690000</v>
      </c>
      <c r="H1436" s="243">
        <f t="shared" si="46"/>
        <v>100</v>
      </c>
      <c r="I1436" s="123" t="str">
        <f t="shared" si="45"/>
        <v>07070110041040611</v>
      </c>
    </row>
    <row r="1437" spans="1:9" ht="114.75">
      <c r="A1437" s="241" t="s">
        <v>1149</v>
      </c>
      <c r="B1437" s="242" t="s">
        <v>207</v>
      </c>
      <c r="C1437" s="242" t="s">
        <v>365</v>
      </c>
      <c r="D1437" s="242" t="s">
        <v>1150</v>
      </c>
      <c r="E1437" s="242"/>
      <c r="F1437" s="243">
        <v>59000</v>
      </c>
      <c r="G1437" s="243">
        <v>59000</v>
      </c>
      <c r="H1437" s="243">
        <f t="shared" si="46"/>
        <v>100</v>
      </c>
      <c r="I1437" s="123" t="str">
        <f t="shared" si="45"/>
        <v>0707011004Г040</v>
      </c>
    </row>
    <row r="1438" spans="1:9" ht="25.5">
      <c r="A1438" s="241" t="s">
        <v>1327</v>
      </c>
      <c r="B1438" s="242" t="s">
        <v>207</v>
      </c>
      <c r="C1438" s="242" t="s">
        <v>365</v>
      </c>
      <c r="D1438" s="242" t="s">
        <v>1150</v>
      </c>
      <c r="E1438" s="242" t="s">
        <v>1328</v>
      </c>
      <c r="F1438" s="243">
        <v>59000</v>
      </c>
      <c r="G1438" s="243">
        <v>59000</v>
      </c>
      <c r="H1438" s="243">
        <f t="shared" si="46"/>
        <v>100</v>
      </c>
      <c r="I1438" s="123" t="str">
        <f t="shared" si="45"/>
        <v>0707011004Г040600</v>
      </c>
    </row>
    <row r="1439" spans="1:9">
      <c r="A1439" s="241" t="s">
        <v>1198</v>
      </c>
      <c r="B1439" s="242" t="s">
        <v>207</v>
      </c>
      <c r="C1439" s="242" t="s">
        <v>365</v>
      </c>
      <c r="D1439" s="242" t="s">
        <v>1150</v>
      </c>
      <c r="E1439" s="242" t="s">
        <v>1199</v>
      </c>
      <c r="F1439" s="243">
        <v>59000</v>
      </c>
      <c r="G1439" s="243">
        <v>59000</v>
      </c>
      <c r="H1439" s="243">
        <f t="shared" si="46"/>
        <v>100</v>
      </c>
      <c r="I1439" s="123" t="str">
        <f t="shared" si="45"/>
        <v>0707011004Г040610</v>
      </c>
    </row>
    <row r="1440" spans="1:9" ht="51">
      <c r="A1440" s="241" t="s">
        <v>347</v>
      </c>
      <c r="B1440" s="242" t="s">
        <v>207</v>
      </c>
      <c r="C1440" s="242" t="s">
        <v>365</v>
      </c>
      <c r="D1440" s="242" t="s">
        <v>1150</v>
      </c>
      <c r="E1440" s="242" t="s">
        <v>348</v>
      </c>
      <c r="F1440" s="243">
        <v>59000</v>
      </c>
      <c r="G1440" s="243">
        <v>59000</v>
      </c>
      <c r="H1440" s="243">
        <f t="shared" si="46"/>
        <v>100</v>
      </c>
      <c r="I1440" s="123" t="str">
        <f t="shared" si="45"/>
        <v>0707011004Г040611</v>
      </c>
    </row>
    <row r="1441" spans="1:9" ht="114.75">
      <c r="A1441" s="241" t="s">
        <v>1849</v>
      </c>
      <c r="B1441" s="242" t="s">
        <v>207</v>
      </c>
      <c r="C1441" s="242" t="s">
        <v>365</v>
      </c>
      <c r="D1441" s="242" t="s">
        <v>1850</v>
      </c>
      <c r="E1441" s="242"/>
      <c r="F1441" s="243">
        <v>60750</v>
      </c>
      <c r="G1441" s="243">
        <v>60750</v>
      </c>
      <c r="H1441" s="243">
        <f t="shared" si="46"/>
        <v>100</v>
      </c>
      <c r="I1441" s="123" t="str">
        <f t="shared" si="45"/>
        <v>0707011004М040</v>
      </c>
    </row>
    <row r="1442" spans="1:9" ht="25.5">
      <c r="A1442" s="241" t="s">
        <v>1327</v>
      </c>
      <c r="B1442" s="242" t="s">
        <v>207</v>
      </c>
      <c r="C1442" s="242" t="s">
        <v>365</v>
      </c>
      <c r="D1442" s="242" t="s">
        <v>1850</v>
      </c>
      <c r="E1442" s="242" t="s">
        <v>1328</v>
      </c>
      <c r="F1442" s="243">
        <v>60750</v>
      </c>
      <c r="G1442" s="243">
        <v>60750</v>
      </c>
      <c r="H1442" s="243">
        <f t="shared" si="46"/>
        <v>100</v>
      </c>
      <c r="I1442" s="123" t="str">
        <f t="shared" si="45"/>
        <v>0707011004М040600</v>
      </c>
    </row>
    <row r="1443" spans="1:9">
      <c r="A1443" s="241" t="s">
        <v>1198</v>
      </c>
      <c r="B1443" s="242" t="s">
        <v>207</v>
      </c>
      <c r="C1443" s="242" t="s">
        <v>365</v>
      </c>
      <c r="D1443" s="242" t="s">
        <v>1850</v>
      </c>
      <c r="E1443" s="242" t="s">
        <v>1199</v>
      </c>
      <c r="F1443" s="243">
        <v>60750</v>
      </c>
      <c r="G1443" s="243">
        <v>60750</v>
      </c>
      <c r="H1443" s="243">
        <f t="shared" si="46"/>
        <v>100</v>
      </c>
      <c r="I1443" s="123" t="str">
        <f t="shared" si="45"/>
        <v>0707011004М040610</v>
      </c>
    </row>
    <row r="1444" spans="1:9" ht="51">
      <c r="A1444" s="241" t="s">
        <v>347</v>
      </c>
      <c r="B1444" s="242" t="s">
        <v>207</v>
      </c>
      <c r="C1444" s="242" t="s">
        <v>365</v>
      </c>
      <c r="D1444" s="242" t="s">
        <v>1850</v>
      </c>
      <c r="E1444" s="242" t="s">
        <v>348</v>
      </c>
      <c r="F1444" s="243">
        <v>60750</v>
      </c>
      <c r="G1444" s="243">
        <v>60750</v>
      </c>
      <c r="H1444" s="243">
        <f t="shared" si="46"/>
        <v>100</v>
      </c>
      <c r="I1444" s="123" t="str">
        <f t="shared" ref="I1444:I1507" si="47">CONCATENATE(C1444,D1444,E1444)</f>
        <v>0707011004М040611</v>
      </c>
    </row>
    <row r="1445" spans="1:9" ht="102">
      <c r="A1445" s="241" t="s">
        <v>1151</v>
      </c>
      <c r="B1445" s="242" t="s">
        <v>207</v>
      </c>
      <c r="C1445" s="242" t="s">
        <v>365</v>
      </c>
      <c r="D1445" s="242" t="s">
        <v>1152</v>
      </c>
      <c r="E1445" s="242"/>
      <c r="F1445" s="243">
        <v>169000</v>
      </c>
      <c r="G1445" s="243">
        <v>169000</v>
      </c>
      <c r="H1445" s="243">
        <f t="shared" si="46"/>
        <v>100</v>
      </c>
      <c r="I1445" s="123" t="str">
        <f t="shared" si="47"/>
        <v>0707011004Э040</v>
      </c>
    </row>
    <row r="1446" spans="1:9" ht="25.5">
      <c r="A1446" s="241" t="s">
        <v>1327</v>
      </c>
      <c r="B1446" s="242" t="s">
        <v>207</v>
      </c>
      <c r="C1446" s="242" t="s">
        <v>365</v>
      </c>
      <c r="D1446" s="242" t="s">
        <v>1152</v>
      </c>
      <c r="E1446" s="242" t="s">
        <v>1328</v>
      </c>
      <c r="F1446" s="243">
        <v>169000</v>
      </c>
      <c r="G1446" s="243">
        <v>169000</v>
      </c>
      <c r="H1446" s="243">
        <f t="shared" si="46"/>
        <v>100</v>
      </c>
      <c r="I1446" s="123" t="str">
        <f t="shared" si="47"/>
        <v>0707011004Э040600</v>
      </c>
    </row>
    <row r="1447" spans="1:9">
      <c r="A1447" s="241" t="s">
        <v>1198</v>
      </c>
      <c r="B1447" s="242" t="s">
        <v>207</v>
      </c>
      <c r="C1447" s="242" t="s">
        <v>365</v>
      </c>
      <c r="D1447" s="242" t="s">
        <v>1152</v>
      </c>
      <c r="E1447" s="242" t="s">
        <v>1199</v>
      </c>
      <c r="F1447" s="243">
        <v>169000</v>
      </c>
      <c r="G1447" s="243">
        <v>169000</v>
      </c>
      <c r="H1447" s="243">
        <f t="shared" si="46"/>
        <v>100</v>
      </c>
      <c r="I1447" s="123" t="str">
        <f t="shared" si="47"/>
        <v>0707011004Э040610</v>
      </c>
    </row>
    <row r="1448" spans="1:9" ht="51">
      <c r="A1448" s="241" t="s">
        <v>347</v>
      </c>
      <c r="B1448" s="242" t="s">
        <v>207</v>
      </c>
      <c r="C1448" s="242" t="s">
        <v>365</v>
      </c>
      <c r="D1448" s="242" t="s">
        <v>1152</v>
      </c>
      <c r="E1448" s="242" t="s">
        <v>348</v>
      </c>
      <c r="F1448" s="243">
        <v>169000</v>
      </c>
      <c r="G1448" s="243">
        <v>169000</v>
      </c>
      <c r="H1448" s="243">
        <f t="shared" si="46"/>
        <v>100</v>
      </c>
      <c r="I1448" s="123" t="str">
        <f t="shared" si="47"/>
        <v>0707011004Э040611</v>
      </c>
    </row>
    <row r="1449" spans="1:9" ht="76.5">
      <c r="A1449" s="241" t="s">
        <v>1188</v>
      </c>
      <c r="B1449" s="242" t="s">
        <v>207</v>
      </c>
      <c r="C1449" s="242" t="s">
        <v>365</v>
      </c>
      <c r="D1449" s="242" t="s">
        <v>1189</v>
      </c>
      <c r="E1449" s="242"/>
      <c r="F1449" s="243">
        <v>14029700</v>
      </c>
      <c r="G1449" s="243">
        <v>14029284.9</v>
      </c>
      <c r="H1449" s="243">
        <f t="shared" si="46"/>
        <v>99.997041276720097</v>
      </c>
      <c r="I1449" s="123" t="str">
        <f t="shared" si="47"/>
        <v>07070110076490</v>
      </c>
    </row>
    <row r="1450" spans="1:9" ht="25.5">
      <c r="A1450" s="241" t="s">
        <v>1319</v>
      </c>
      <c r="B1450" s="242" t="s">
        <v>207</v>
      </c>
      <c r="C1450" s="242" t="s">
        <v>365</v>
      </c>
      <c r="D1450" s="242" t="s">
        <v>1189</v>
      </c>
      <c r="E1450" s="242" t="s">
        <v>1320</v>
      </c>
      <c r="F1450" s="243">
        <v>9784917.3200000003</v>
      </c>
      <c r="G1450" s="243">
        <v>9784917.3200000003</v>
      </c>
      <c r="H1450" s="243">
        <f t="shared" si="46"/>
        <v>100</v>
      </c>
      <c r="I1450" s="123" t="str">
        <f t="shared" si="47"/>
        <v>07070110076490200</v>
      </c>
    </row>
    <row r="1451" spans="1:9" ht="25.5">
      <c r="A1451" s="241" t="s">
        <v>1196</v>
      </c>
      <c r="B1451" s="242" t="s">
        <v>207</v>
      </c>
      <c r="C1451" s="242" t="s">
        <v>365</v>
      </c>
      <c r="D1451" s="242" t="s">
        <v>1189</v>
      </c>
      <c r="E1451" s="242" t="s">
        <v>1197</v>
      </c>
      <c r="F1451" s="243">
        <v>9784917.3200000003</v>
      </c>
      <c r="G1451" s="243">
        <v>9784917.3200000003</v>
      </c>
      <c r="H1451" s="243">
        <f t="shared" si="46"/>
        <v>100</v>
      </c>
      <c r="I1451" s="123" t="str">
        <f t="shared" si="47"/>
        <v>07070110076490240</v>
      </c>
    </row>
    <row r="1452" spans="1:9">
      <c r="A1452" s="241" t="s">
        <v>1223</v>
      </c>
      <c r="B1452" s="242" t="s">
        <v>207</v>
      </c>
      <c r="C1452" s="242" t="s">
        <v>365</v>
      </c>
      <c r="D1452" s="242" t="s">
        <v>1189</v>
      </c>
      <c r="E1452" s="242" t="s">
        <v>329</v>
      </c>
      <c r="F1452" s="243">
        <v>9784917.3200000003</v>
      </c>
      <c r="G1452" s="243">
        <v>9784917.3200000003</v>
      </c>
      <c r="H1452" s="243">
        <f t="shared" si="46"/>
        <v>100</v>
      </c>
      <c r="I1452" s="123" t="str">
        <f t="shared" si="47"/>
        <v>07070110076490244</v>
      </c>
    </row>
    <row r="1453" spans="1:9" ht="25.5">
      <c r="A1453" s="241" t="s">
        <v>1327</v>
      </c>
      <c r="B1453" s="242" t="s">
        <v>207</v>
      </c>
      <c r="C1453" s="242" t="s">
        <v>365</v>
      </c>
      <c r="D1453" s="242" t="s">
        <v>1189</v>
      </c>
      <c r="E1453" s="242" t="s">
        <v>1328</v>
      </c>
      <c r="F1453" s="243">
        <v>4244782.68</v>
      </c>
      <c r="G1453" s="243">
        <v>4244367.58</v>
      </c>
      <c r="H1453" s="243">
        <f t="shared" si="46"/>
        <v>99.990220936351932</v>
      </c>
      <c r="I1453" s="123" t="str">
        <f t="shared" si="47"/>
        <v>07070110076490600</v>
      </c>
    </row>
    <row r="1454" spans="1:9">
      <c r="A1454" s="241" t="s">
        <v>1198</v>
      </c>
      <c r="B1454" s="242" t="s">
        <v>207</v>
      </c>
      <c r="C1454" s="242" t="s">
        <v>365</v>
      </c>
      <c r="D1454" s="242" t="s">
        <v>1189</v>
      </c>
      <c r="E1454" s="242" t="s">
        <v>1199</v>
      </c>
      <c r="F1454" s="243">
        <v>4244782.68</v>
      </c>
      <c r="G1454" s="243">
        <v>4244367.58</v>
      </c>
      <c r="H1454" s="243">
        <f t="shared" si="46"/>
        <v>99.990220936351932</v>
      </c>
      <c r="I1454" s="123" t="str">
        <f t="shared" si="47"/>
        <v>07070110076490610</v>
      </c>
    </row>
    <row r="1455" spans="1:9" ht="51">
      <c r="A1455" s="241" t="s">
        <v>347</v>
      </c>
      <c r="B1455" s="242" t="s">
        <v>207</v>
      </c>
      <c r="C1455" s="242" t="s">
        <v>365</v>
      </c>
      <c r="D1455" s="242" t="s">
        <v>1189</v>
      </c>
      <c r="E1455" s="242" t="s">
        <v>348</v>
      </c>
      <c r="F1455" s="243">
        <v>4244782.68</v>
      </c>
      <c r="G1455" s="243">
        <v>4244367.58</v>
      </c>
      <c r="H1455" s="243">
        <f t="shared" si="46"/>
        <v>99.990220936351932</v>
      </c>
      <c r="I1455" s="123" t="str">
        <f t="shared" si="47"/>
        <v>07070110076490611</v>
      </c>
    </row>
    <row r="1456" spans="1:9" ht="63.75">
      <c r="A1456" s="241" t="s">
        <v>393</v>
      </c>
      <c r="B1456" s="242" t="s">
        <v>207</v>
      </c>
      <c r="C1456" s="242" t="s">
        <v>365</v>
      </c>
      <c r="D1456" s="242" t="s">
        <v>776</v>
      </c>
      <c r="E1456" s="242"/>
      <c r="F1456" s="243">
        <v>2953249.56</v>
      </c>
      <c r="G1456" s="243">
        <v>2953249.56</v>
      </c>
      <c r="H1456" s="243">
        <f t="shared" si="46"/>
        <v>100</v>
      </c>
      <c r="I1456" s="123" t="str">
        <f t="shared" si="47"/>
        <v>07070110080030</v>
      </c>
    </row>
    <row r="1457" spans="1:9" ht="25.5">
      <c r="A1457" s="241" t="s">
        <v>1319</v>
      </c>
      <c r="B1457" s="242" t="s">
        <v>207</v>
      </c>
      <c r="C1457" s="242" t="s">
        <v>365</v>
      </c>
      <c r="D1457" s="242" t="s">
        <v>776</v>
      </c>
      <c r="E1457" s="242" t="s">
        <v>1320</v>
      </c>
      <c r="F1457" s="243">
        <v>1688249.56</v>
      </c>
      <c r="G1457" s="243">
        <v>1688249.56</v>
      </c>
      <c r="H1457" s="243">
        <f t="shared" si="46"/>
        <v>100</v>
      </c>
      <c r="I1457" s="123" t="str">
        <f t="shared" si="47"/>
        <v>07070110080030200</v>
      </c>
    </row>
    <row r="1458" spans="1:9" ht="25.5">
      <c r="A1458" s="241" t="s">
        <v>1196</v>
      </c>
      <c r="B1458" s="242" t="s">
        <v>207</v>
      </c>
      <c r="C1458" s="242" t="s">
        <v>365</v>
      </c>
      <c r="D1458" s="242" t="s">
        <v>776</v>
      </c>
      <c r="E1458" s="242" t="s">
        <v>1197</v>
      </c>
      <c r="F1458" s="243">
        <v>1688249.56</v>
      </c>
      <c r="G1458" s="243">
        <v>1688249.56</v>
      </c>
      <c r="H1458" s="243">
        <f t="shared" si="46"/>
        <v>100</v>
      </c>
      <c r="I1458" s="123" t="str">
        <f t="shared" si="47"/>
        <v>07070110080030240</v>
      </c>
    </row>
    <row r="1459" spans="1:9">
      <c r="A1459" s="241" t="s">
        <v>1223</v>
      </c>
      <c r="B1459" s="242" t="s">
        <v>207</v>
      </c>
      <c r="C1459" s="242" t="s">
        <v>365</v>
      </c>
      <c r="D1459" s="242" t="s">
        <v>776</v>
      </c>
      <c r="E1459" s="242" t="s">
        <v>329</v>
      </c>
      <c r="F1459" s="243">
        <v>1688249.56</v>
      </c>
      <c r="G1459" s="243">
        <v>1688249.56</v>
      </c>
      <c r="H1459" s="243">
        <f t="shared" si="46"/>
        <v>100</v>
      </c>
      <c r="I1459" s="123" t="str">
        <f t="shared" si="47"/>
        <v>07070110080030244</v>
      </c>
    </row>
    <row r="1460" spans="1:9" ht="25.5">
      <c r="A1460" s="241" t="s">
        <v>1327</v>
      </c>
      <c r="B1460" s="242" t="s">
        <v>207</v>
      </c>
      <c r="C1460" s="242" t="s">
        <v>365</v>
      </c>
      <c r="D1460" s="242" t="s">
        <v>776</v>
      </c>
      <c r="E1460" s="242" t="s">
        <v>1328</v>
      </c>
      <c r="F1460" s="243">
        <v>1265000</v>
      </c>
      <c r="G1460" s="243">
        <v>1265000</v>
      </c>
      <c r="H1460" s="243">
        <f t="shared" si="46"/>
        <v>100</v>
      </c>
      <c r="I1460" s="123" t="str">
        <f t="shared" si="47"/>
        <v>07070110080030600</v>
      </c>
    </row>
    <row r="1461" spans="1:9">
      <c r="A1461" s="241" t="s">
        <v>1198</v>
      </c>
      <c r="B1461" s="242" t="s">
        <v>207</v>
      </c>
      <c r="C1461" s="242" t="s">
        <v>365</v>
      </c>
      <c r="D1461" s="242" t="s">
        <v>776</v>
      </c>
      <c r="E1461" s="242" t="s">
        <v>1199</v>
      </c>
      <c r="F1461" s="243">
        <v>1265000</v>
      </c>
      <c r="G1461" s="243">
        <v>1265000</v>
      </c>
      <c r="H1461" s="243">
        <f t="shared" si="46"/>
        <v>100</v>
      </c>
      <c r="I1461" s="123" t="str">
        <f t="shared" si="47"/>
        <v>07070110080030610</v>
      </c>
    </row>
    <row r="1462" spans="1:9" ht="51">
      <c r="A1462" s="241" t="s">
        <v>347</v>
      </c>
      <c r="B1462" s="242" t="s">
        <v>207</v>
      </c>
      <c r="C1462" s="242" t="s">
        <v>365</v>
      </c>
      <c r="D1462" s="242" t="s">
        <v>776</v>
      </c>
      <c r="E1462" s="242" t="s">
        <v>348</v>
      </c>
      <c r="F1462" s="243">
        <v>1265000</v>
      </c>
      <c r="G1462" s="243">
        <v>1265000</v>
      </c>
      <c r="H1462" s="243">
        <f t="shared" si="46"/>
        <v>100</v>
      </c>
      <c r="I1462" s="123" t="str">
        <f t="shared" si="47"/>
        <v>07070110080030611</v>
      </c>
    </row>
    <row r="1463" spans="1:9" ht="165.75">
      <c r="A1463" s="241" t="s">
        <v>1478</v>
      </c>
      <c r="B1463" s="242" t="s">
        <v>207</v>
      </c>
      <c r="C1463" s="242" t="s">
        <v>365</v>
      </c>
      <c r="D1463" s="242" t="s">
        <v>774</v>
      </c>
      <c r="E1463" s="242"/>
      <c r="F1463" s="243">
        <v>358360</v>
      </c>
      <c r="G1463" s="243">
        <v>312040.21999999997</v>
      </c>
      <c r="H1463" s="243">
        <f t="shared" si="46"/>
        <v>87.074511664248234</v>
      </c>
      <c r="I1463" s="123" t="str">
        <f t="shared" si="47"/>
        <v>070701100S3970</v>
      </c>
    </row>
    <row r="1464" spans="1:9" ht="25.5">
      <c r="A1464" s="241" t="s">
        <v>1327</v>
      </c>
      <c r="B1464" s="242" t="s">
        <v>207</v>
      </c>
      <c r="C1464" s="242" t="s">
        <v>365</v>
      </c>
      <c r="D1464" s="242" t="s">
        <v>774</v>
      </c>
      <c r="E1464" s="242" t="s">
        <v>1328</v>
      </c>
      <c r="F1464" s="243">
        <v>358360</v>
      </c>
      <c r="G1464" s="243">
        <v>312040.21999999997</v>
      </c>
      <c r="H1464" s="243">
        <f t="shared" si="46"/>
        <v>87.074511664248234</v>
      </c>
      <c r="I1464" s="123" t="str">
        <f t="shared" si="47"/>
        <v>070701100S3970600</v>
      </c>
    </row>
    <row r="1465" spans="1:9">
      <c r="A1465" s="241" t="s">
        <v>1198</v>
      </c>
      <c r="B1465" s="242" t="s">
        <v>207</v>
      </c>
      <c r="C1465" s="242" t="s">
        <v>365</v>
      </c>
      <c r="D1465" s="242" t="s">
        <v>774</v>
      </c>
      <c r="E1465" s="242" t="s">
        <v>1199</v>
      </c>
      <c r="F1465" s="243">
        <v>358360</v>
      </c>
      <c r="G1465" s="243">
        <v>312040.21999999997</v>
      </c>
      <c r="H1465" s="243">
        <f t="shared" si="46"/>
        <v>87.074511664248234</v>
      </c>
      <c r="I1465" s="123" t="str">
        <f t="shared" si="47"/>
        <v>070701100S3970610</v>
      </c>
    </row>
    <row r="1466" spans="1:9" ht="51">
      <c r="A1466" s="241" t="s">
        <v>347</v>
      </c>
      <c r="B1466" s="242" t="s">
        <v>207</v>
      </c>
      <c r="C1466" s="242" t="s">
        <v>365</v>
      </c>
      <c r="D1466" s="242" t="s">
        <v>774</v>
      </c>
      <c r="E1466" s="242" t="s">
        <v>348</v>
      </c>
      <c r="F1466" s="243">
        <v>358360</v>
      </c>
      <c r="G1466" s="243">
        <v>312040.21999999997</v>
      </c>
      <c r="H1466" s="243">
        <f t="shared" si="46"/>
        <v>87.074511664248234</v>
      </c>
      <c r="I1466" s="123" t="str">
        <f t="shared" si="47"/>
        <v>070701100S3970611</v>
      </c>
    </row>
    <row r="1467" spans="1:9" ht="38.25">
      <c r="A1467" s="241" t="s">
        <v>615</v>
      </c>
      <c r="B1467" s="242" t="s">
        <v>207</v>
      </c>
      <c r="C1467" s="242" t="s">
        <v>365</v>
      </c>
      <c r="D1467" s="242" t="s">
        <v>973</v>
      </c>
      <c r="E1467" s="242"/>
      <c r="F1467" s="243">
        <v>298047.93</v>
      </c>
      <c r="G1467" s="243">
        <v>298047.93</v>
      </c>
      <c r="H1467" s="243">
        <f t="shared" si="46"/>
        <v>100</v>
      </c>
      <c r="I1467" s="123" t="str">
        <f t="shared" si="47"/>
        <v>07070130000000</v>
      </c>
    </row>
    <row r="1468" spans="1:9" ht="76.5">
      <c r="A1468" s="241" t="s">
        <v>607</v>
      </c>
      <c r="B1468" s="242" t="s">
        <v>207</v>
      </c>
      <c r="C1468" s="242" t="s">
        <v>365</v>
      </c>
      <c r="D1468" s="242" t="s">
        <v>1733</v>
      </c>
      <c r="E1468" s="242"/>
      <c r="F1468" s="243">
        <v>73001.13</v>
      </c>
      <c r="G1468" s="243">
        <v>73001.13</v>
      </c>
      <c r="H1468" s="243">
        <f t="shared" si="46"/>
        <v>100</v>
      </c>
      <c r="I1468" s="123" t="str">
        <f t="shared" si="47"/>
        <v>07070130080030</v>
      </c>
    </row>
    <row r="1469" spans="1:9" ht="25.5">
      <c r="A1469" s="241" t="s">
        <v>1319</v>
      </c>
      <c r="B1469" s="242" t="s">
        <v>207</v>
      </c>
      <c r="C1469" s="242" t="s">
        <v>365</v>
      </c>
      <c r="D1469" s="242" t="s">
        <v>1733</v>
      </c>
      <c r="E1469" s="242" t="s">
        <v>1320</v>
      </c>
      <c r="F1469" s="243">
        <v>73001.13</v>
      </c>
      <c r="G1469" s="243">
        <v>73001.13</v>
      </c>
      <c r="H1469" s="243">
        <f t="shared" si="46"/>
        <v>100</v>
      </c>
      <c r="I1469" s="123" t="str">
        <f t="shared" si="47"/>
        <v>07070130080030200</v>
      </c>
    </row>
    <row r="1470" spans="1:9" ht="25.5">
      <c r="A1470" s="241" t="s">
        <v>1196</v>
      </c>
      <c r="B1470" s="242" t="s">
        <v>207</v>
      </c>
      <c r="C1470" s="242" t="s">
        <v>365</v>
      </c>
      <c r="D1470" s="242" t="s">
        <v>1733</v>
      </c>
      <c r="E1470" s="242" t="s">
        <v>1197</v>
      </c>
      <c r="F1470" s="243">
        <v>73001.13</v>
      </c>
      <c r="G1470" s="243">
        <v>73001.13</v>
      </c>
      <c r="H1470" s="243">
        <f t="shared" si="46"/>
        <v>100</v>
      </c>
      <c r="I1470" s="123" t="str">
        <f t="shared" si="47"/>
        <v>07070130080030240</v>
      </c>
    </row>
    <row r="1471" spans="1:9">
      <c r="A1471" s="241" t="s">
        <v>1223</v>
      </c>
      <c r="B1471" s="242" t="s">
        <v>207</v>
      </c>
      <c r="C1471" s="242" t="s">
        <v>365</v>
      </c>
      <c r="D1471" s="242" t="s">
        <v>1733</v>
      </c>
      <c r="E1471" s="242" t="s">
        <v>329</v>
      </c>
      <c r="F1471" s="243">
        <v>73001.13</v>
      </c>
      <c r="G1471" s="243">
        <v>73001.13</v>
      </c>
      <c r="H1471" s="243">
        <f t="shared" si="46"/>
        <v>100</v>
      </c>
      <c r="I1471" s="123" t="str">
        <f t="shared" si="47"/>
        <v>07070130080030244</v>
      </c>
    </row>
    <row r="1472" spans="1:9" ht="76.5">
      <c r="A1472" s="241" t="s">
        <v>608</v>
      </c>
      <c r="B1472" s="242" t="s">
        <v>207</v>
      </c>
      <c r="C1472" s="242" t="s">
        <v>365</v>
      </c>
      <c r="D1472" s="242" t="s">
        <v>1734</v>
      </c>
      <c r="E1472" s="242"/>
      <c r="F1472" s="243">
        <v>225046.8</v>
      </c>
      <c r="G1472" s="243">
        <v>225046.8</v>
      </c>
      <c r="H1472" s="243">
        <f t="shared" si="46"/>
        <v>100</v>
      </c>
      <c r="I1472" s="123" t="str">
        <f t="shared" si="47"/>
        <v>0707013008П030</v>
      </c>
    </row>
    <row r="1473" spans="1:9" ht="25.5">
      <c r="A1473" s="241" t="s">
        <v>1319</v>
      </c>
      <c r="B1473" s="242" t="s">
        <v>207</v>
      </c>
      <c r="C1473" s="242" t="s">
        <v>365</v>
      </c>
      <c r="D1473" s="242" t="s">
        <v>1734</v>
      </c>
      <c r="E1473" s="242" t="s">
        <v>1320</v>
      </c>
      <c r="F1473" s="243">
        <v>225046.8</v>
      </c>
      <c r="G1473" s="243">
        <v>225046.8</v>
      </c>
      <c r="H1473" s="243">
        <f t="shared" si="46"/>
        <v>100</v>
      </c>
      <c r="I1473" s="123" t="str">
        <f t="shared" si="47"/>
        <v>0707013008П030200</v>
      </c>
    </row>
    <row r="1474" spans="1:9" ht="25.5">
      <c r="A1474" s="241" t="s">
        <v>1196</v>
      </c>
      <c r="B1474" s="242" t="s">
        <v>207</v>
      </c>
      <c r="C1474" s="242" t="s">
        <v>365</v>
      </c>
      <c r="D1474" s="242" t="s">
        <v>1734</v>
      </c>
      <c r="E1474" s="242" t="s">
        <v>1197</v>
      </c>
      <c r="F1474" s="243">
        <v>225046.8</v>
      </c>
      <c r="G1474" s="243">
        <v>225046.8</v>
      </c>
      <c r="H1474" s="243">
        <f t="shared" si="46"/>
        <v>100</v>
      </c>
      <c r="I1474" s="123" t="str">
        <f t="shared" si="47"/>
        <v>0707013008П030240</v>
      </c>
    </row>
    <row r="1475" spans="1:9">
      <c r="A1475" s="241" t="s">
        <v>1223</v>
      </c>
      <c r="B1475" s="242" t="s">
        <v>207</v>
      </c>
      <c r="C1475" s="242" t="s">
        <v>365</v>
      </c>
      <c r="D1475" s="242" t="s">
        <v>1734</v>
      </c>
      <c r="E1475" s="242" t="s">
        <v>329</v>
      </c>
      <c r="F1475" s="243">
        <v>225046.8</v>
      </c>
      <c r="G1475" s="243">
        <v>225046.8</v>
      </c>
      <c r="H1475" s="243">
        <f t="shared" ref="H1475:H1538" si="48">G1475/F1475*100</f>
        <v>100</v>
      </c>
      <c r="I1475" s="123" t="str">
        <f t="shared" si="47"/>
        <v>0707013008П030244</v>
      </c>
    </row>
    <row r="1476" spans="1:9">
      <c r="A1476" s="241" t="s">
        <v>4</v>
      </c>
      <c r="B1476" s="242" t="s">
        <v>207</v>
      </c>
      <c r="C1476" s="242" t="s">
        <v>420</v>
      </c>
      <c r="D1476" s="242"/>
      <c r="E1476" s="242"/>
      <c r="F1476" s="243">
        <v>104675188.81</v>
      </c>
      <c r="G1476" s="243">
        <v>102810470.87</v>
      </c>
      <c r="H1476" s="243">
        <f t="shared" si="48"/>
        <v>98.218567397681298</v>
      </c>
      <c r="I1476" s="123" t="str">
        <f t="shared" si="47"/>
        <v>0709</v>
      </c>
    </row>
    <row r="1477" spans="1:9" ht="25.5">
      <c r="A1477" s="241" t="s">
        <v>442</v>
      </c>
      <c r="B1477" s="242" t="s">
        <v>207</v>
      </c>
      <c r="C1477" s="242" t="s">
        <v>420</v>
      </c>
      <c r="D1477" s="242" t="s">
        <v>971</v>
      </c>
      <c r="E1477" s="242"/>
      <c r="F1477" s="243">
        <v>104675188.81</v>
      </c>
      <c r="G1477" s="243">
        <v>102810470.87</v>
      </c>
      <c r="H1477" s="243">
        <f t="shared" si="48"/>
        <v>98.218567397681298</v>
      </c>
      <c r="I1477" s="123" t="str">
        <f t="shared" si="47"/>
        <v>07090100000000</v>
      </c>
    </row>
    <row r="1478" spans="1:9" ht="38.25">
      <c r="A1478" s="241" t="s">
        <v>445</v>
      </c>
      <c r="B1478" s="242" t="s">
        <v>207</v>
      </c>
      <c r="C1478" s="242" t="s">
        <v>420</v>
      </c>
      <c r="D1478" s="242" t="s">
        <v>1134</v>
      </c>
      <c r="E1478" s="242"/>
      <c r="F1478" s="243">
        <v>6786560</v>
      </c>
      <c r="G1478" s="243">
        <v>6061057.6200000001</v>
      </c>
      <c r="H1478" s="243">
        <f t="shared" si="48"/>
        <v>89.309718325631835</v>
      </c>
      <c r="I1478" s="123" t="str">
        <f t="shared" si="47"/>
        <v>07090120000000</v>
      </c>
    </row>
    <row r="1479" spans="1:9" ht="89.25">
      <c r="A1479" s="241" t="s">
        <v>421</v>
      </c>
      <c r="B1479" s="242" t="s">
        <v>207</v>
      </c>
      <c r="C1479" s="242" t="s">
        <v>420</v>
      </c>
      <c r="D1479" s="242" t="s">
        <v>1126</v>
      </c>
      <c r="E1479" s="242"/>
      <c r="F1479" s="243">
        <v>6786560</v>
      </c>
      <c r="G1479" s="243">
        <v>6061057.6200000001</v>
      </c>
      <c r="H1479" s="243">
        <f t="shared" si="48"/>
        <v>89.309718325631835</v>
      </c>
      <c r="I1479" s="123" t="str">
        <f t="shared" si="47"/>
        <v>07090120075520</v>
      </c>
    </row>
    <row r="1480" spans="1:9" ht="63.75">
      <c r="A1480" s="241" t="s">
        <v>1318</v>
      </c>
      <c r="B1480" s="242" t="s">
        <v>207</v>
      </c>
      <c r="C1480" s="242" t="s">
        <v>420</v>
      </c>
      <c r="D1480" s="242" t="s">
        <v>1126</v>
      </c>
      <c r="E1480" s="242" t="s">
        <v>273</v>
      </c>
      <c r="F1480" s="243">
        <v>5456957.2199999997</v>
      </c>
      <c r="G1480" s="243">
        <v>4795367.7699999996</v>
      </c>
      <c r="H1480" s="243">
        <f t="shared" si="48"/>
        <v>87.876220697218514</v>
      </c>
      <c r="I1480" s="123" t="str">
        <f t="shared" si="47"/>
        <v>07090120075520100</v>
      </c>
    </row>
    <row r="1481" spans="1:9" ht="25.5">
      <c r="A1481" s="241" t="s">
        <v>1203</v>
      </c>
      <c r="B1481" s="242" t="s">
        <v>207</v>
      </c>
      <c r="C1481" s="242" t="s">
        <v>420</v>
      </c>
      <c r="D1481" s="242" t="s">
        <v>1126</v>
      </c>
      <c r="E1481" s="242" t="s">
        <v>28</v>
      </c>
      <c r="F1481" s="243">
        <v>5456957.2199999997</v>
      </c>
      <c r="G1481" s="243">
        <v>4795367.7699999996</v>
      </c>
      <c r="H1481" s="243">
        <f t="shared" si="48"/>
        <v>87.876220697218514</v>
      </c>
      <c r="I1481" s="123" t="str">
        <f t="shared" si="47"/>
        <v>07090120075520120</v>
      </c>
    </row>
    <row r="1482" spans="1:9" ht="25.5">
      <c r="A1482" s="241" t="s">
        <v>953</v>
      </c>
      <c r="B1482" s="242" t="s">
        <v>207</v>
      </c>
      <c r="C1482" s="242" t="s">
        <v>420</v>
      </c>
      <c r="D1482" s="242" t="s">
        <v>1126</v>
      </c>
      <c r="E1482" s="242" t="s">
        <v>324</v>
      </c>
      <c r="F1482" s="243">
        <v>4137022</v>
      </c>
      <c r="G1482" s="243">
        <v>3626231.14</v>
      </c>
      <c r="H1482" s="243">
        <f t="shared" si="48"/>
        <v>87.6531751583627</v>
      </c>
      <c r="I1482" s="123" t="str">
        <f t="shared" si="47"/>
        <v>07090120075520121</v>
      </c>
    </row>
    <row r="1483" spans="1:9" ht="38.25">
      <c r="A1483" s="241" t="s">
        <v>325</v>
      </c>
      <c r="B1483" s="242" t="s">
        <v>207</v>
      </c>
      <c r="C1483" s="242" t="s">
        <v>420</v>
      </c>
      <c r="D1483" s="242" t="s">
        <v>1126</v>
      </c>
      <c r="E1483" s="242" t="s">
        <v>326</v>
      </c>
      <c r="F1483" s="243">
        <v>83037.22</v>
      </c>
      <c r="G1483" s="243">
        <v>83037.22</v>
      </c>
      <c r="H1483" s="243">
        <f t="shared" si="48"/>
        <v>100</v>
      </c>
      <c r="I1483" s="123" t="str">
        <f t="shared" si="47"/>
        <v>07090120075520122</v>
      </c>
    </row>
    <row r="1484" spans="1:9" ht="38.25">
      <c r="A1484" s="241" t="s">
        <v>1054</v>
      </c>
      <c r="B1484" s="242" t="s">
        <v>207</v>
      </c>
      <c r="C1484" s="242" t="s">
        <v>420</v>
      </c>
      <c r="D1484" s="242" t="s">
        <v>1126</v>
      </c>
      <c r="E1484" s="242" t="s">
        <v>1055</v>
      </c>
      <c r="F1484" s="243">
        <v>1236898</v>
      </c>
      <c r="G1484" s="243">
        <v>1086099.4099999999</v>
      </c>
      <c r="H1484" s="243">
        <f t="shared" si="48"/>
        <v>87.808324534440189</v>
      </c>
      <c r="I1484" s="123" t="str">
        <f t="shared" si="47"/>
        <v>07090120075520129</v>
      </c>
    </row>
    <row r="1485" spans="1:9" ht="25.5">
      <c r="A1485" s="241" t="s">
        <v>1319</v>
      </c>
      <c r="B1485" s="242" t="s">
        <v>207</v>
      </c>
      <c r="C1485" s="242" t="s">
        <v>420</v>
      </c>
      <c r="D1485" s="242" t="s">
        <v>1126</v>
      </c>
      <c r="E1485" s="242" t="s">
        <v>1320</v>
      </c>
      <c r="F1485" s="243">
        <v>1329602.78</v>
      </c>
      <c r="G1485" s="243">
        <v>1265689.8500000001</v>
      </c>
      <c r="H1485" s="243">
        <f t="shared" si="48"/>
        <v>95.193080898943379</v>
      </c>
      <c r="I1485" s="123" t="str">
        <f t="shared" si="47"/>
        <v>07090120075520200</v>
      </c>
    </row>
    <row r="1486" spans="1:9" ht="25.5">
      <c r="A1486" s="241" t="s">
        <v>1196</v>
      </c>
      <c r="B1486" s="242" t="s">
        <v>207</v>
      </c>
      <c r="C1486" s="242" t="s">
        <v>420</v>
      </c>
      <c r="D1486" s="242" t="s">
        <v>1126</v>
      </c>
      <c r="E1486" s="242" t="s">
        <v>1197</v>
      </c>
      <c r="F1486" s="243">
        <v>1329602.78</v>
      </c>
      <c r="G1486" s="243">
        <v>1265689.8500000001</v>
      </c>
      <c r="H1486" s="243">
        <f t="shared" si="48"/>
        <v>95.193080898943379</v>
      </c>
      <c r="I1486" s="123" t="str">
        <f t="shared" si="47"/>
        <v>07090120075520240</v>
      </c>
    </row>
    <row r="1487" spans="1:9">
      <c r="A1487" s="241" t="s">
        <v>1223</v>
      </c>
      <c r="B1487" s="242" t="s">
        <v>207</v>
      </c>
      <c r="C1487" s="242" t="s">
        <v>420</v>
      </c>
      <c r="D1487" s="242" t="s">
        <v>1126</v>
      </c>
      <c r="E1487" s="242" t="s">
        <v>329</v>
      </c>
      <c r="F1487" s="243">
        <v>1329602.78</v>
      </c>
      <c r="G1487" s="243">
        <v>1265689.8500000001</v>
      </c>
      <c r="H1487" s="243">
        <f t="shared" si="48"/>
        <v>95.193080898943379</v>
      </c>
      <c r="I1487" s="123" t="str">
        <f t="shared" si="47"/>
        <v>07090120075520244</v>
      </c>
    </row>
    <row r="1488" spans="1:9" ht="38.25">
      <c r="A1488" s="241" t="s">
        <v>615</v>
      </c>
      <c r="B1488" s="242" t="s">
        <v>207</v>
      </c>
      <c r="C1488" s="242" t="s">
        <v>420</v>
      </c>
      <c r="D1488" s="242" t="s">
        <v>973</v>
      </c>
      <c r="E1488" s="242"/>
      <c r="F1488" s="243">
        <v>97888628.810000002</v>
      </c>
      <c r="G1488" s="243">
        <v>96749413.25</v>
      </c>
      <c r="H1488" s="243">
        <f t="shared" si="48"/>
        <v>98.836212567435993</v>
      </c>
      <c r="I1488" s="123" t="str">
        <f t="shared" si="47"/>
        <v>07090130000000</v>
      </c>
    </row>
    <row r="1489" spans="1:9" ht="89.25">
      <c r="A1489" s="241" t="s">
        <v>2100</v>
      </c>
      <c r="B1489" s="242" t="s">
        <v>207</v>
      </c>
      <c r="C1489" s="242" t="s">
        <v>420</v>
      </c>
      <c r="D1489" s="242" t="s">
        <v>2101</v>
      </c>
      <c r="E1489" s="242"/>
      <c r="F1489" s="243">
        <v>5095210</v>
      </c>
      <c r="G1489" s="243">
        <v>5094578.34</v>
      </c>
      <c r="H1489" s="243">
        <f t="shared" si="48"/>
        <v>99.987602866221408</v>
      </c>
      <c r="I1489" s="123" t="str">
        <f t="shared" si="47"/>
        <v>07090130027242</v>
      </c>
    </row>
    <row r="1490" spans="1:9" ht="63.75">
      <c r="A1490" s="241" t="s">
        <v>1318</v>
      </c>
      <c r="B1490" s="242" t="s">
        <v>207</v>
      </c>
      <c r="C1490" s="242" t="s">
        <v>420</v>
      </c>
      <c r="D1490" s="242" t="s">
        <v>2101</v>
      </c>
      <c r="E1490" s="242" t="s">
        <v>273</v>
      </c>
      <c r="F1490" s="243">
        <v>5095210</v>
      </c>
      <c r="G1490" s="243">
        <v>5094578.34</v>
      </c>
      <c r="H1490" s="243">
        <f t="shared" si="48"/>
        <v>99.987602866221408</v>
      </c>
      <c r="I1490" s="123" t="str">
        <f t="shared" si="47"/>
        <v>07090130027242100</v>
      </c>
    </row>
    <row r="1491" spans="1:9">
      <c r="A1491" s="241" t="s">
        <v>1190</v>
      </c>
      <c r="B1491" s="242" t="s">
        <v>207</v>
      </c>
      <c r="C1491" s="242" t="s">
        <v>420</v>
      </c>
      <c r="D1491" s="242" t="s">
        <v>2101</v>
      </c>
      <c r="E1491" s="242" t="s">
        <v>133</v>
      </c>
      <c r="F1491" s="243">
        <v>4778160</v>
      </c>
      <c r="G1491" s="243">
        <v>4777528.34</v>
      </c>
      <c r="H1491" s="243">
        <f t="shared" si="48"/>
        <v>99.98678026688097</v>
      </c>
      <c r="I1491" s="123" t="str">
        <f t="shared" si="47"/>
        <v>07090130027242110</v>
      </c>
    </row>
    <row r="1492" spans="1:9">
      <c r="A1492" s="241" t="s">
        <v>1138</v>
      </c>
      <c r="B1492" s="242" t="s">
        <v>207</v>
      </c>
      <c r="C1492" s="242" t="s">
        <v>420</v>
      </c>
      <c r="D1492" s="242" t="s">
        <v>2101</v>
      </c>
      <c r="E1492" s="242" t="s">
        <v>342</v>
      </c>
      <c r="F1492" s="243">
        <v>3670030</v>
      </c>
      <c r="G1492" s="243">
        <v>3669398.34</v>
      </c>
      <c r="H1492" s="243">
        <f t="shared" si="48"/>
        <v>99.982788696550159</v>
      </c>
      <c r="I1492" s="123" t="str">
        <f t="shared" si="47"/>
        <v>07090130027242111</v>
      </c>
    </row>
    <row r="1493" spans="1:9" ht="38.25">
      <c r="A1493" s="241" t="s">
        <v>1139</v>
      </c>
      <c r="B1493" s="242" t="s">
        <v>207</v>
      </c>
      <c r="C1493" s="242" t="s">
        <v>420</v>
      </c>
      <c r="D1493" s="242" t="s">
        <v>2101</v>
      </c>
      <c r="E1493" s="242" t="s">
        <v>1056</v>
      </c>
      <c r="F1493" s="243">
        <v>1108130</v>
      </c>
      <c r="G1493" s="243">
        <v>1108130</v>
      </c>
      <c r="H1493" s="243">
        <f t="shared" si="48"/>
        <v>100</v>
      </c>
      <c r="I1493" s="123" t="str">
        <f t="shared" si="47"/>
        <v>07090130027242119</v>
      </c>
    </row>
    <row r="1494" spans="1:9" ht="25.5">
      <c r="A1494" s="241" t="s">
        <v>1203</v>
      </c>
      <c r="B1494" s="242" t="s">
        <v>207</v>
      </c>
      <c r="C1494" s="242" t="s">
        <v>420</v>
      </c>
      <c r="D1494" s="242" t="s">
        <v>2101</v>
      </c>
      <c r="E1494" s="242" t="s">
        <v>28</v>
      </c>
      <c r="F1494" s="243">
        <v>317050</v>
      </c>
      <c r="G1494" s="243">
        <v>317050</v>
      </c>
      <c r="H1494" s="243">
        <f t="shared" si="48"/>
        <v>100</v>
      </c>
      <c r="I1494" s="123" t="str">
        <f t="shared" si="47"/>
        <v>07090130027242120</v>
      </c>
    </row>
    <row r="1495" spans="1:9" ht="25.5">
      <c r="A1495" s="241" t="s">
        <v>953</v>
      </c>
      <c r="B1495" s="242" t="s">
        <v>207</v>
      </c>
      <c r="C1495" s="242" t="s">
        <v>420</v>
      </c>
      <c r="D1495" s="242" t="s">
        <v>2101</v>
      </c>
      <c r="E1495" s="242" t="s">
        <v>324</v>
      </c>
      <c r="F1495" s="243">
        <v>243510</v>
      </c>
      <c r="G1495" s="243">
        <v>243510</v>
      </c>
      <c r="H1495" s="243">
        <f t="shared" si="48"/>
        <v>100</v>
      </c>
      <c r="I1495" s="123" t="str">
        <f t="shared" si="47"/>
        <v>07090130027242121</v>
      </c>
    </row>
    <row r="1496" spans="1:9" ht="38.25">
      <c r="A1496" s="241" t="s">
        <v>1054</v>
      </c>
      <c r="B1496" s="242" t="s">
        <v>207</v>
      </c>
      <c r="C1496" s="242" t="s">
        <v>420</v>
      </c>
      <c r="D1496" s="242" t="s">
        <v>2101</v>
      </c>
      <c r="E1496" s="242" t="s">
        <v>1055</v>
      </c>
      <c r="F1496" s="243">
        <v>73540</v>
      </c>
      <c r="G1496" s="243">
        <v>73540</v>
      </c>
      <c r="H1496" s="243">
        <f t="shared" si="48"/>
        <v>100</v>
      </c>
      <c r="I1496" s="123" t="str">
        <f t="shared" si="47"/>
        <v>07090130027242129</v>
      </c>
    </row>
    <row r="1497" spans="1:9" ht="76.5">
      <c r="A1497" s="241" t="s">
        <v>609</v>
      </c>
      <c r="B1497" s="242" t="s">
        <v>207</v>
      </c>
      <c r="C1497" s="242" t="s">
        <v>420</v>
      </c>
      <c r="D1497" s="242" t="s">
        <v>1127</v>
      </c>
      <c r="E1497" s="242"/>
      <c r="F1497" s="243">
        <v>51015233.399999999</v>
      </c>
      <c r="G1497" s="243">
        <v>50897427.149999999</v>
      </c>
      <c r="H1497" s="243">
        <f t="shared" si="48"/>
        <v>99.769076328483493</v>
      </c>
      <c r="I1497" s="123" t="str">
        <f t="shared" si="47"/>
        <v>07090130040000</v>
      </c>
    </row>
    <row r="1498" spans="1:9" ht="63.75">
      <c r="A1498" s="241" t="s">
        <v>1318</v>
      </c>
      <c r="B1498" s="242" t="s">
        <v>207</v>
      </c>
      <c r="C1498" s="242" t="s">
        <v>420</v>
      </c>
      <c r="D1498" s="242" t="s">
        <v>1127</v>
      </c>
      <c r="E1498" s="242" t="s">
        <v>273</v>
      </c>
      <c r="F1498" s="243">
        <v>47330955.539999999</v>
      </c>
      <c r="G1498" s="243">
        <v>47319480.579999998</v>
      </c>
      <c r="H1498" s="243">
        <f t="shared" si="48"/>
        <v>99.975755908856939</v>
      </c>
      <c r="I1498" s="123" t="str">
        <f t="shared" si="47"/>
        <v>07090130040000100</v>
      </c>
    </row>
    <row r="1499" spans="1:9">
      <c r="A1499" s="241" t="s">
        <v>1190</v>
      </c>
      <c r="B1499" s="242" t="s">
        <v>207</v>
      </c>
      <c r="C1499" s="242" t="s">
        <v>420</v>
      </c>
      <c r="D1499" s="242" t="s">
        <v>1127</v>
      </c>
      <c r="E1499" s="242" t="s">
        <v>133</v>
      </c>
      <c r="F1499" s="243">
        <v>47330955.539999999</v>
      </c>
      <c r="G1499" s="243">
        <v>47319480.579999998</v>
      </c>
      <c r="H1499" s="243">
        <f t="shared" si="48"/>
        <v>99.975755908856939</v>
      </c>
      <c r="I1499" s="123" t="str">
        <f t="shared" si="47"/>
        <v>07090130040000110</v>
      </c>
    </row>
    <row r="1500" spans="1:9">
      <c r="A1500" s="241" t="s">
        <v>1138</v>
      </c>
      <c r="B1500" s="242" t="s">
        <v>207</v>
      </c>
      <c r="C1500" s="242" t="s">
        <v>420</v>
      </c>
      <c r="D1500" s="242" t="s">
        <v>1127</v>
      </c>
      <c r="E1500" s="242" t="s">
        <v>342</v>
      </c>
      <c r="F1500" s="243">
        <v>36004219.380000003</v>
      </c>
      <c r="G1500" s="243">
        <v>35993074</v>
      </c>
      <c r="H1500" s="243">
        <f t="shared" si="48"/>
        <v>99.969044239281033</v>
      </c>
      <c r="I1500" s="123" t="str">
        <f t="shared" si="47"/>
        <v>07090130040000111</v>
      </c>
    </row>
    <row r="1501" spans="1:9" ht="25.5">
      <c r="A1501" s="241" t="s">
        <v>1147</v>
      </c>
      <c r="B1501" s="242" t="s">
        <v>207</v>
      </c>
      <c r="C1501" s="242" t="s">
        <v>420</v>
      </c>
      <c r="D1501" s="242" t="s">
        <v>1127</v>
      </c>
      <c r="E1501" s="242" t="s">
        <v>391</v>
      </c>
      <c r="F1501" s="243">
        <v>267485</v>
      </c>
      <c r="G1501" s="243">
        <v>267160</v>
      </c>
      <c r="H1501" s="243">
        <f t="shared" si="48"/>
        <v>99.87849785969307</v>
      </c>
      <c r="I1501" s="123" t="str">
        <f t="shared" si="47"/>
        <v>07090130040000112</v>
      </c>
    </row>
    <row r="1502" spans="1:9" ht="38.25">
      <c r="A1502" s="241" t="s">
        <v>1139</v>
      </c>
      <c r="B1502" s="242" t="s">
        <v>207</v>
      </c>
      <c r="C1502" s="242" t="s">
        <v>420</v>
      </c>
      <c r="D1502" s="242" t="s">
        <v>1127</v>
      </c>
      <c r="E1502" s="242" t="s">
        <v>1056</v>
      </c>
      <c r="F1502" s="243">
        <v>11059251.16</v>
      </c>
      <c r="G1502" s="243">
        <v>11059246.58</v>
      </c>
      <c r="H1502" s="243">
        <f t="shared" si="48"/>
        <v>99.999958586707777</v>
      </c>
      <c r="I1502" s="123" t="str">
        <f t="shared" si="47"/>
        <v>07090130040000119</v>
      </c>
    </row>
    <row r="1503" spans="1:9" ht="25.5">
      <c r="A1503" s="241" t="s">
        <v>1319</v>
      </c>
      <c r="B1503" s="242" t="s">
        <v>207</v>
      </c>
      <c r="C1503" s="242" t="s">
        <v>420</v>
      </c>
      <c r="D1503" s="242" t="s">
        <v>1127</v>
      </c>
      <c r="E1503" s="242" t="s">
        <v>1320</v>
      </c>
      <c r="F1503" s="243">
        <v>3682652.91</v>
      </c>
      <c r="G1503" s="243">
        <v>3576321.62</v>
      </c>
      <c r="H1503" s="243">
        <f t="shared" si="48"/>
        <v>97.112644264919339</v>
      </c>
      <c r="I1503" s="123" t="str">
        <f t="shared" si="47"/>
        <v>07090130040000200</v>
      </c>
    </row>
    <row r="1504" spans="1:9" ht="25.5">
      <c r="A1504" s="241" t="s">
        <v>1196</v>
      </c>
      <c r="B1504" s="242" t="s">
        <v>207</v>
      </c>
      <c r="C1504" s="242" t="s">
        <v>420</v>
      </c>
      <c r="D1504" s="242" t="s">
        <v>1127</v>
      </c>
      <c r="E1504" s="242" t="s">
        <v>1197</v>
      </c>
      <c r="F1504" s="243">
        <v>3682652.91</v>
      </c>
      <c r="G1504" s="243">
        <v>3576321.62</v>
      </c>
      <c r="H1504" s="243">
        <f t="shared" si="48"/>
        <v>97.112644264919339</v>
      </c>
      <c r="I1504" s="123" t="str">
        <f t="shared" si="47"/>
        <v>07090130040000240</v>
      </c>
    </row>
    <row r="1505" spans="1:9">
      <c r="A1505" s="241" t="s">
        <v>1223</v>
      </c>
      <c r="B1505" s="242" t="s">
        <v>207</v>
      </c>
      <c r="C1505" s="242" t="s">
        <v>420</v>
      </c>
      <c r="D1505" s="242" t="s">
        <v>1127</v>
      </c>
      <c r="E1505" s="242" t="s">
        <v>329</v>
      </c>
      <c r="F1505" s="243">
        <v>3682652.91</v>
      </c>
      <c r="G1505" s="243">
        <v>3576321.62</v>
      </c>
      <c r="H1505" s="243">
        <f t="shared" si="48"/>
        <v>97.112644264919339</v>
      </c>
      <c r="I1505" s="123" t="str">
        <f t="shared" si="47"/>
        <v>07090130040000244</v>
      </c>
    </row>
    <row r="1506" spans="1:9">
      <c r="A1506" s="241" t="s">
        <v>1321</v>
      </c>
      <c r="B1506" s="242" t="s">
        <v>207</v>
      </c>
      <c r="C1506" s="242" t="s">
        <v>420</v>
      </c>
      <c r="D1506" s="242" t="s">
        <v>1127</v>
      </c>
      <c r="E1506" s="242" t="s">
        <v>1322</v>
      </c>
      <c r="F1506" s="243">
        <v>1624.95</v>
      </c>
      <c r="G1506" s="243">
        <v>1624.95</v>
      </c>
      <c r="H1506" s="243">
        <f t="shared" si="48"/>
        <v>100</v>
      </c>
      <c r="I1506" s="123" t="str">
        <f t="shared" si="47"/>
        <v>07090130040000800</v>
      </c>
    </row>
    <row r="1507" spans="1:9">
      <c r="A1507" s="241" t="s">
        <v>1201</v>
      </c>
      <c r="B1507" s="242" t="s">
        <v>207</v>
      </c>
      <c r="C1507" s="242" t="s">
        <v>420</v>
      </c>
      <c r="D1507" s="242" t="s">
        <v>1127</v>
      </c>
      <c r="E1507" s="242" t="s">
        <v>1202</v>
      </c>
      <c r="F1507" s="243">
        <v>1624.95</v>
      </c>
      <c r="G1507" s="243">
        <v>1624.95</v>
      </c>
      <c r="H1507" s="243">
        <f t="shared" si="48"/>
        <v>100</v>
      </c>
      <c r="I1507" s="123" t="str">
        <f t="shared" si="47"/>
        <v>07090130040000850</v>
      </c>
    </row>
    <row r="1508" spans="1:9">
      <c r="A1508" s="241" t="s">
        <v>1057</v>
      </c>
      <c r="B1508" s="242" t="s">
        <v>207</v>
      </c>
      <c r="C1508" s="242" t="s">
        <v>420</v>
      </c>
      <c r="D1508" s="242" t="s">
        <v>1127</v>
      </c>
      <c r="E1508" s="242" t="s">
        <v>1058</v>
      </c>
      <c r="F1508" s="243">
        <v>1624.95</v>
      </c>
      <c r="G1508" s="243">
        <v>1624.95</v>
      </c>
      <c r="H1508" s="243">
        <f t="shared" si="48"/>
        <v>100</v>
      </c>
      <c r="I1508" s="123" t="str">
        <f t="shared" ref="I1508:I1571" si="49">CONCATENATE(C1508,D1508,E1508)</f>
        <v>07090130040000853</v>
      </c>
    </row>
    <row r="1509" spans="1:9" ht="89.25">
      <c r="A1509" s="241" t="s">
        <v>610</v>
      </c>
      <c r="B1509" s="242" t="s">
        <v>207</v>
      </c>
      <c r="C1509" s="242" t="s">
        <v>420</v>
      </c>
      <c r="D1509" s="242" t="s">
        <v>1133</v>
      </c>
      <c r="E1509" s="242"/>
      <c r="F1509" s="243">
        <v>1064010</v>
      </c>
      <c r="G1509" s="243">
        <v>1063338.2</v>
      </c>
      <c r="H1509" s="243">
        <f t="shared" si="48"/>
        <v>99.936861495662626</v>
      </c>
      <c r="I1509" s="123" t="str">
        <f t="shared" si="49"/>
        <v>07090130040050</v>
      </c>
    </row>
    <row r="1510" spans="1:9" ht="63.75">
      <c r="A1510" s="241" t="s">
        <v>1318</v>
      </c>
      <c r="B1510" s="242" t="s">
        <v>207</v>
      </c>
      <c r="C1510" s="242" t="s">
        <v>420</v>
      </c>
      <c r="D1510" s="242" t="s">
        <v>1133</v>
      </c>
      <c r="E1510" s="242" t="s">
        <v>273</v>
      </c>
      <c r="F1510" s="243">
        <v>1064010</v>
      </c>
      <c r="G1510" s="243">
        <v>1063338.2</v>
      </c>
      <c r="H1510" s="243">
        <f t="shared" si="48"/>
        <v>99.936861495662626</v>
      </c>
      <c r="I1510" s="123" t="str">
        <f t="shared" si="49"/>
        <v>07090130040050100</v>
      </c>
    </row>
    <row r="1511" spans="1:9">
      <c r="A1511" s="241" t="s">
        <v>1190</v>
      </c>
      <c r="B1511" s="242" t="s">
        <v>207</v>
      </c>
      <c r="C1511" s="242" t="s">
        <v>420</v>
      </c>
      <c r="D1511" s="242" t="s">
        <v>1133</v>
      </c>
      <c r="E1511" s="242" t="s">
        <v>133</v>
      </c>
      <c r="F1511" s="243">
        <v>1064010</v>
      </c>
      <c r="G1511" s="243">
        <v>1063338.2</v>
      </c>
      <c r="H1511" s="243">
        <f t="shared" si="48"/>
        <v>99.936861495662626</v>
      </c>
      <c r="I1511" s="123" t="str">
        <f t="shared" si="49"/>
        <v>07090130040050110</v>
      </c>
    </row>
    <row r="1512" spans="1:9">
      <c r="A1512" s="241" t="s">
        <v>1138</v>
      </c>
      <c r="B1512" s="242" t="s">
        <v>207</v>
      </c>
      <c r="C1512" s="242" t="s">
        <v>420</v>
      </c>
      <c r="D1512" s="242" t="s">
        <v>1133</v>
      </c>
      <c r="E1512" s="242" t="s">
        <v>342</v>
      </c>
      <c r="F1512" s="243">
        <v>817000</v>
      </c>
      <c r="G1512" s="243">
        <v>816338.38</v>
      </c>
      <c r="H1512" s="243">
        <f t="shared" si="48"/>
        <v>99.919018359853112</v>
      </c>
      <c r="I1512" s="123" t="str">
        <f t="shared" si="49"/>
        <v>07090130040050111</v>
      </c>
    </row>
    <row r="1513" spans="1:9" ht="38.25">
      <c r="A1513" s="241" t="s">
        <v>1139</v>
      </c>
      <c r="B1513" s="242" t="s">
        <v>207</v>
      </c>
      <c r="C1513" s="242" t="s">
        <v>420</v>
      </c>
      <c r="D1513" s="242" t="s">
        <v>1133</v>
      </c>
      <c r="E1513" s="242" t="s">
        <v>1056</v>
      </c>
      <c r="F1513" s="243">
        <v>247010</v>
      </c>
      <c r="G1513" s="243">
        <v>246999.82</v>
      </c>
      <c r="H1513" s="243">
        <f t="shared" si="48"/>
        <v>99.995878709363993</v>
      </c>
      <c r="I1513" s="123" t="str">
        <f t="shared" si="49"/>
        <v>07090130040050119</v>
      </c>
    </row>
    <row r="1514" spans="1:9" ht="102">
      <c r="A1514" s="241" t="s">
        <v>622</v>
      </c>
      <c r="B1514" s="242" t="s">
        <v>207</v>
      </c>
      <c r="C1514" s="242" t="s">
        <v>420</v>
      </c>
      <c r="D1514" s="242" t="s">
        <v>1128</v>
      </c>
      <c r="E1514" s="242"/>
      <c r="F1514" s="243">
        <v>28272535</v>
      </c>
      <c r="G1514" s="243">
        <v>28231887.550000001</v>
      </c>
      <c r="H1514" s="243">
        <f t="shared" si="48"/>
        <v>99.856229906515281</v>
      </c>
      <c r="I1514" s="123" t="str">
        <f t="shared" si="49"/>
        <v>07090130041000</v>
      </c>
    </row>
    <row r="1515" spans="1:9" ht="63.75">
      <c r="A1515" s="241" t="s">
        <v>1318</v>
      </c>
      <c r="B1515" s="242" t="s">
        <v>207</v>
      </c>
      <c r="C1515" s="242" t="s">
        <v>420</v>
      </c>
      <c r="D1515" s="242" t="s">
        <v>1128</v>
      </c>
      <c r="E1515" s="242" t="s">
        <v>273</v>
      </c>
      <c r="F1515" s="243">
        <v>28272535</v>
      </c>
      <c r="G1515" s="243">
        <v>28231887.550000001</v>
      </c>
      <c r="H1515" s="243">
        <f t="shared" si="48"/>
        <v>99.856229906515281</v>
      </c>
      <c r="I1515" s="123" t="str">
        <f t="shared" si="49"/>
        <v>07090130041000100</v>
      </c>
    </row>
    <row r="1516" spans="1:9">
      <c r="A1516" s="241" t="s">
        <v>1190</v>
      </c>
      <c r="B1516" s="242" t="s">
        <v>207</v>
      </c>
      <c r="C1516" s="242" t="s">
        <v>420</v>
      </c>
      <c r="D1516" s="242" t="s">
        <v>1128</v>
      </c>
      <c r="E1516" s="242" t="s">
        <v>133</v>
      </c>
      <c r="F1516" s="243">
        <v>28272535</v>
      </c>
      <c r="G1516" s="243">
        <v>28231887.550000001</v>
      </c>
      <c r="H1516" s="243">
        <f t="shared" si="48"/>
        <v>99.856229906515281</v>
      </c>
      <c r="I1516" s="123" t="str">
        <f t="shared" si="49"/>
        <v>07090130041000110</v>
      </c>
    </row>
    <row r="1517" spans="1:9">
      <c r="A1517" s="241" t="s">
        <v>1138</v>
      </c>
      <c r="B1517" s="242" t="s">
        <v>207</v>
      </c>
      <c r="C1517" s="242" t="s">
        <v>420</v>
      </c>
      <c r="D1517" s="242" t="s">
        <v>1128</v>
      </c>
      <c r="E1517" s="242" t="s">
        <v>342</v>
      </c>
      <c r="F1517" s="243">
        <v>21956194</v>
      </c>
      <c r="G1517" s="243">
        <v>21915724.899999999</v>
      </c>
      <c r="H1517" s="243">
        <f t="shared" si="48"/>
        <v>99.815682535871204</v>
      </c>
      <c r="I1517" s="123" t="str">
        <f t="shared" si="49"/>
        <v>07090130041000111</v>
      </c>
    </row>
    <row r="1518" spans="1:9" ht="38.25">
      <c r="A1518" s="241" t="s">
        <v>1139</v>
      </c>
      <c r="B1518" s="242" t="s">
        <v>207</v>
      </c>
      <c r="C1518" s="242" t="s">
        <v>420</v>
      </c>
      <c r="D1518" s="242" t="s">
        <v>1128</v>
      </c>
      <c r="E1518" s="242" t="s">
        <v>1056</v>
      </c>
      <c r="F1518" s="243">
        <v>6316341</v>
      </c>
      <c r="G1518" s="243">
        <v>6316162.6500000004</v>
      </c>
      <c r="H1518" s="243">
        <f t="shared" si="48"/>
        <v>99.99717637157336</v>
      </c>
      <c r="I1518" s="123" t="str">
        <f t="shared" si="49"/>
        <v>07090130041000119</v>
      </c>
    </row>
    <row r="1519" spans="1:9" ht="89.25">
      <c r="A1519" s="241" t="s">
        <v>2256</v>
      </c>
      <c r="B1519" s="242" t="s">
        <v>207</v>
      </c>
      <c r="C1519" s="242" t="s">
        <v>420</v>
      </c>
      <c r="D1519" s="242" t="s">
        <v>2257</v>
      </c>
      <c r="E1519" s="242"/>
      <c r="F1519" s="243">
        <v>900000</v>
      </c>
      <c r="G1519" s="243">
        <v>0</v>
      </c>
      <c r="H1519" s="243">
        <f t="shared" si="48"/>
        <v>0</v>
      </c>
      <c r="I1519" s="123" t="str">
        <f t="shared" si="49"/>
        <v>07090130043000</v>
      </c>
    </row>
    <row r="1520" spans="1:9" ht="25.5">
      <c r="A1520" s="241" t="s">
        <v>1319</v>
      </c>
      <c r="B1520" s="242" t="s">
        <v>207</v>
      </c>
      <c r="C1520" s="242" t="s">
        <v>420</v>
      </c>
      <c r="D1520" s="242" t="s">
        <v>2257</v>
      </c>
      <c r="E1520" s="242" t="s">
        <v>1320</v>
      </c>
      <c r="F1520" s="243">
        <v>900000</v>
      </c>
      <c r="G1520" s="243">
        <v>0</v>
      </c>
      <c r="H1520" s="243">
        <f t="shared" si="48"/>
        <v>0</v>
      </c>
      <c r="I1520" s="123" t="str">
        <f t="shared" si="49"/>
        <v>07090130043000200</v>
      </c>
    </row>
    <row r="1521" spans="1:9" ht="25.5">
      <c r="A1521" s="241" t="s">
        <v>1196</v>
      </c>
      <c r="B1521" s="242" t="s">
        <v>207</v>
      </c>
      <c r="C1521" s="242" t="s">
        <v>420</v>
      </c>
      <c r="D1521" s="242" t="s">
        <v>2257</v>
      </c>
      <c r="E1521" s="242" t="s">
        <v>1197</v>
      </c>
      <c r="F1521" s="243">
        <v>900000</v>
      </c>
      <c r="G1521" s="243">
        <v>0</v>
      </c>
      <c r="H1521" s="243">
        <f t="shared" si="48"/>
        <v>0</v>
      </c>
      <c r="I1521" s="123" t="str">
        <f t="shared" si="49"/>
        <v>07090130043000240</v>
      </c>
    </row>
    <row r="1522" spans="1:9">
      <c r="A1522" s="241" t="s">
        <v>1223</v>
      </c>
      <c r="B1522" s="242" t="s">
        <v>207</v>
      </c>
      <c r="C1522" s="242" t="s">
        <v>420</v>
      </c>
      <c r="D1522" s="242" t="s">
        <v>2257</v>
      </c>
      <c r="E1522" s="242" t="s">
        <v>329</v>
      </c>
      <c r="F1522" s="243">
        <v>900000</v>
      </c>
      <c r="G1522" s="243">
        <v>0</v>
      </c>
      <c r="H1522" s="243">
        <f t="shared" si="48"/>
        <v>0</v>
      </c>
      <c r="I1522" s="123" t="str">
        <f t="shared" si="49"/>
        <v>07090130043000244</v>
      </c>
    </row>
    <row r="1523" spans="1:9" ht="89.25">
      <c r="A1523" s="241" t="s">
        <v>611</v>
      </c>
      <c r="B1523" s="242" t="s">
        <v>207</v>
      </c>
      <c r="C1523" s="242" t="s">
        <v>420</v>
      </c>
      <c r="D1523" s="242" t="s">
        <v>1129</v>
      </c>
      <c r="E1523" s="242"/>
      <c r="F1523" s="243">
        <v>383338.99</v>
      </c>
      <c r="G1523" s="243">
        <v>383338.99</v>
      </c>
      <c r="H1523" s="243">
        <f t="shared" si="48"/>
        <v>100</v>
      </c>
      <c r="I1523" s="123" t="str">
        <f t="shared" si="49"/>
        <v>07090130047000</v>
      </c>
    </row>
    <row r="1524" spans="1:9" ht="63.75">
      <c r="A1524" s="241" t="s">
        <v>1318</v>
      </c>
      <c r="B1524" s="242" t="s">
        <v>207</v>
      </c>
      <c r="C1524" s="242" t="s">
        <v>420</v>
      </c>
      <c r="D1524" s="242" t="s">
        <v>1129</v>
      </c>
      <c r="E1524" s="242" t="s">
        <v>273</v>
      </c>
      <c r="F1524" s="243">
        <v>383338.99</v>
      </c>
      <c r="G1524" s="243">
        <v>383338.99</v>
      </c>
      <c r="H1524" s="243">
        <f t="shared" si="48"/>
        <v>100</v>
      </c>
      <c r="I1524" s="123" t="str">
        <f t="shared" si="49"/>
        <v>07090130047000100</v>
      </c>
    </row>
    <row r="1525" spans="1:9">
      <c r="A1525" s="241" t="s">
        <v>1190</v>
      </c>
      <c r="B1525" s="242" t="s">
        <v>207</v>
      </c>
      <c r="C1525" s="242" t="s">
        <v>420</v>
      </c>
      <c r="D1525" s="242" t="s">
        <v>1129</v>
      </c>
      <c r="E1525" s="242" t="s">
        <v>133</v>
      </c>
      <c r="F1525" s="243">
        <v>383338.99</v>
      </c>
      <c r="G1525" s="243">
        <v>383338.99</v>
      </c>
      <c r="H1525" s="243">
        <f t="shared" si="48"/>
        <v>100</v>
      </c>
      <c r="I1525" s="123" t="str">
        <f t="shared" si="49"/>
        <v>07090130047000110</v>
      </c>
    </row>
    <row r="1526" spans="1:9" ht="25.5">
      <c r="A1526" s="241" t="s">
        <v>1147</v>
      </c>
      <c r="B1526" s="242" t="s">
        <v>207</v>
      </c>
      <c r="C1526" s="242" t="s">
        <v>420</v>
      </c>
      <c r="D1526" s="242" t="s">
        <v>1129</v>
      </c>
      <c r="E1526" s="242" t="s">
        <v>391</v>
      </c>
      <c r="F1526" s="243">
        <v>383338.99</v>
      </c>
      <c r="G1526" s="243">
        <v>383338.99</v>
      </c>
      <c r="H1526" s="243">
        <f t="shared" si="48"/>
        <v>100</v>
      </c>
      <c r="I1526" s="123" t="str">
        <f t="shared" si="49"/>
        <v>07090130047000112</v>
      </c>
    </row>
    <row r="1527" spans="1:9" ht="76.5">
      <c r="A1527" s="241" t="s">
        <v>612</v>
      </c>
      <c r="B1527" s="242" t="s">
        <v>207</v>
      </c>
      <c r="C1527" s="242" t="s">
        <v>420</v>
      </c>
      <c r="D1527" s="242" t="s">
        <v>1130</v>
      </c>
      <c r="E1527" s="242"/>
      <c r="F1527" s="243">
        <v>94289.15</v>
      </c>
      <c r="G1527" s="243">
        <v>93624.11</v>
      </c>
      <c r="H1527" s="243">
        <f t="shared" si="48"/>
        <v>99.294680246878883</v>
      </c>
      <c r="I1527" s="123" t="str">
        <f t="shared" si="49"/>
        <v>0709013004Г000</v>
      </c>
    </row>
    <row r="1528" spans="1:9" ht="25.5">
      <c r="A1528" s="241" t="s">
        <v>1319</v>
      </c>
      <c r="B1528" s="242" t="s">
        <v>207</v>
      </c>
      <c r="C1528" s="242" t="s">
        <v>420</v>
      </c>
      <c r="D1528" s="242" t="s">
        <v>1130</v>
      </c>
      <c r="E1528" s="242" t="s">
        <v>1320</v>
      </c>
      <c r="F1528" s="243">
        <v>94289.15</v>
      </c>
      <c r="G1528" s="243">
        <v>93624.11</v>
      </c>
      <c r="H1528" s="243">
        <f t="shared" si="48"/>
        <v>99.294680246878883</v>
      </c>
      <c r="I1528" s="123" t="str">
        <f t="shared" si="49"/>
        <v>0709013004Г000200</v>
      </c>
    </row>
    <row r="1529" spans="1:9" ht="25.5">
      <c r="A1529" s="241" t="s">
        <v>1196</v>
      </c>
      <c r="B1529" s="242" t="s">
        <v>207</v>
      </c>
      <c r="C1529" s="242" t="s">
        <v>420</v>
      </c>
      <c r="D1529" s="242" t="s">
        <v>1130</v>
      </c>
      <c r="E1529" s="242" t="s">
        <v>1197</v>
      </c>
      <c r="F1529" s="243">
        <v>94289.15</v>
      </c>
      <c r="G1529" s="243">
        <v>93624.11</v>
      </c>
      <c r="H1529" s="243">
        <f t="shared" si="48"/>
        <v>99.294680246878883</v>
      </c>
      <c r="I1529" s="123" t="str">
        <f t="shared" si="49"/>
        <v>0709013004Г000240</v>
      </c>
    </row>
    <row r="1530" spans="1:9">
      <c r="A1530" s="241" t="s">
        <v>1223</v>
      </c>
      <c r="B1530" s="242" t="s">
        <v>207</v>
      </c>
      <c r="C1530" s="242" t="s">
        <v>420</v>
      </c>
      <c r="D1530" s="242" t="s">
        <v>1130</v>
      </c>
      <c r="E1530" s="242" t="s">
        <v>329</v>
      </c>
      <c r="F1530" s="243">
        <v>45855.03</v>
      </c>
      <c r="G1530" s="243">
        <v>45189.99</v>
      </c>
      <c r="H1530" s="243">
        <f t="shared" si="48"/>
        <v>98.549690186660001</v>
      </c>
      <c r="I1530" s="123" t="str">
        <f t="shared" si="49"/>
        <v>0709013004Г000244</v>
      </c>
    </row>
    <row r="1531" spans="1:9">
      <c r="A1531" s="241" t="s">
        <v>1699</v>
      </c>
      <c r="B1531" s="242" t="s">
        <v>207</v>
      </c>
      <c r="C1531" s="242" t="s">
        <v>420</v>
      </c>
      <c r="D1531" s="242" t="s">
        <v>1130</v>
      </c>
      <c r="E1531" s="242" t="s">
        <v>1700</v>
      </c>
      <c r="F1531" s="243">
        <v>48434.12</v>
      </c>
      <c r="G1531" s="243">
        <v>48434.12</v>
      </c>
      <c r="H1531" s="243">
        <f t="shared" si="48"/>
        <v>100</v>
      </c>
      <c r="I1531" s="123" t="str">
        <f t="shared" si="49"/>
        <v>0709013004Г000247</v>
      </c>
    </row>
    <row r="1532" spans="1:9" ht="76.5">
      <c r="A1532" s="241" t="s">
        <v>2155</v>
      </c>
      <c r="B1532" s="242" t="s">
        <v>207</v>
      </c>
      <c r="C1532" s="242" t="s">
        <v>420</v>
      </c>
      <c r="D1532" s="242" t="s">
        <v>2156</v>
      </c>
      <c r="E1532" s="242"/>
      <c r="F1532" s="243">
        <v>2860</v>
      </c>
      <c r="G1532" s="243">
        <v>2860</v>
      </c>
      <c r="H1532" s="243">
        <f t="shared" si="48"/>
        <v>100</v>
      </c>
      <c r="I1532" s="123" t="str">
        <f t="shared" si="49"/>
        <v>0709013004Ф000</v>
      </c>
    </row>
    <row r="1533" spans="1:9" ht="25.5">
      <c r="A1533" s="241" t="s">
        <v>1319</v>
      </c>
      <c r="B1533" s="242" t="s">
        <v>207</v>
      </c>
      <c r="C1533" s="242" t="s">
        <v>420</v>
      </c>
      <c r="D1533" s="242" t="s">
        <v>2156</v>
      </c>
      <c r="E1533" s="242" t="s">
        <v>1320</v>
      </c>
      <c r="F1533" s="243">
        <v>2860</v>
      </c>
      <c r="G1533" s="243">
        <v>2860</v>
      </c>
      <c r="H1533" s="243">
        <f t="shared" si="48"/>
        <v>100</v>
      </c>
      <c r="I1533" s="123" t="str">
        <f t="shared" si="49"/>
        <v>0709013004Ф000200</v>
      </c>
    </row>
    <row r="1534" spans="1:9" ht="25.5">
      <c r="A1534" s="241" t="s">
        <v>1196</v>
      </c>
      <c r="B1534" s="242" t="s">
        <v>207</v>
      </c>
      <c r="C1534" s="242" t="s">
        <v>420</v>
      </c>
      <c r="D1534" s="242" t="s">
        <v>2156</v>
      </c>
      <c r="E1534" s="242" t="s">
        <v>1197</v>
      </c>
      <c r="F1534" s="243">
        <v>2860</v>
      </c>
      <c r="G1534" s="243">
        <v>2860</v>
      </c>
      <c r="H1534" s="243">
        <f t="shared" si="48"/>
        <v>100</v>
      </c>
      <c r="I1534" s="123" t="str">
        <f t="shared" si="49"/>
        <v>0709013004Ф000240</v>
      </c>
    </row>
    <row r="1535" spans="1:9">
      <c r="A1535" s="241" t="s">
        <v>1223</v>
      </c>
      <c r="B1535" s="242" t="s">
        <v>207</v>
      </c>
      <c r="C1535" s="242" t="s">
        <v>420</v>
      </c>
      <c r="D1535" s="242" t="s">
        <v>2156</v>
      </c>
      <c r="E1535" s="242" t="s">
        <v>329</v>
      </c>
      <c r="F1535" s="243">
        <v>2860</v>
      </c>
      <c r="G1535" s="243">
        <v>2860</v>
      </c>
      <c r="H1535" s="243">
        <f t="shared" si="48"/>
        <v>100</v>
      </c>
      <c r="I1535" s="123" t="str">
        <f t="shared" si="49"/>
        <v>0709013004Ф000244</v>
      </c>
    </row>
    <row r="1536" spans="1:9" ht="63.75">
      <c r="A1536" s="241" t="s">
        <v>968</v>
      </c>
      <c r="B1536" s="242" t="s">
        <v>207</v>
      </c>
      <c r="C1536" s="242" t="s">
        <v>420</v>
      </c>
      <c r="D1536" s="242" t="s">
        <v>1153</v>
      </c>
      <c r="E1536" s="242"/>
      <c r="F1536" s="243">
        <v>3131458.72</v>
      </c>
      <c r="G1536" s="243">
        <v>3131456.05</v>
      </c>
      <c r="H1536" s="243">
        <f t="shared" si="48"/>
        <v>99.999914736222337</v>
      </c>
      <c r="I1536" s="123" t="str">
        <f t="shared" si="49"/>
        <v>0709013004Э000</v>
      </c>
    </row>
    <row r="1537" spans="1:9" ht="25.5">
      <c r="A1537" s="241" t="s">
        <v>1319</v>
      </c>
      <c r="B1537" s="242" t="s">
        <v>207</v>
      </c>
      <c r="C1537" s="242" t="s">
        <v>420</v>
      </c>
      <c r="D1537" s="242" t="s">
        <v>1153</v>
      </c>
      <c r="E1537" s="242" t="s">
        <v>1320</v>
      </c>
      <c r="F1537" s="243">
        <v>3131458.72</v>
      </c>
      <c r="G1537" s="243">
        <v>3131456.05</v>
      </c>
      <c r="H1537" s="243">
        <f t="shared" si="48"/>
        <v>99.999914736222337</v>
      </c>
      <c r="I1537" s="123" t="str">
        <f t="shared" si="49"/>
        <v>0709013004Э000200</v>
      </c>
    </row>
    <row r="1538" spans="1:9" ht="25.5">
      <c r="A1538" s="241" t="s">
        <v>1196</v>
      </c>
      <c r="B1538" s="242" t="s">
        <v>207</v>
      </c>
      <c r="C1538" s="242" t="s">
        <v>420</v>
      </c>
      <c r="D1538" s="242" t="s">
        <v>1153</v>
      </c>
      <c r="E1538" s="242" t="s">
        <v>1197</v>
      </c>
      <c r="F1538" s="243">
        <v>3131458.72</v>
      </c>
      <c r="G1538" s="243">
        <v>3131456.05</v>
      </c>
      <c r="H1538" s="243">
        <f t="shared" si="48"/>
        <v>99.999914736222337</v>
      </c>
      <c r="I1538" s="123" t="str">
        <f t="shared" si="49"/>
        <v>0709013004Э000240</v>
      </c>
    </row>
    <row r="1539" spans="1:9">
      <c r="A1539" s="241" t="s">
        <v>1699</v>
      </c>
      <c r="B1539" s="242" t="s">
        <v>207</v>
      </c>
      <c r="C1539" s="242" t="s">
        <v>420</v>
      </c>
      <c r="D1539" s="242" t="s">
        <v>1153</v>
      </c>
      <c r="E1539" s="242" t="s">
        <v>1700</v>
      </c>
      <c r="F1539" s="243">
        <v>3131458.72</v>
      </c>
      <c r="G1539" s="243">
        <v>3131456.05</v>
      </c>
      <c r="H1539" s="243">
        <f t="shared" ref="H1539:H1602" si="50">G1539/F1539*100</f>
        <v>99.999914736222337</v>
      </c>
      <c r="I1539" s="123" t="str">
        <f t="shared" si="49"/>
        <v>0709013004Э000247</v>
      </c>
    </row>
    <row r="1540" spans="1:9" ht="76.5">
      <c r="A1540" s="241" t="s">
        <v>613</v>
      </c>
      <c r="B1540" s="242" t="s">
        <v>207</v>
      </c>
      <c r="C1540" s="242" t="s">
        <v>420</v>
      </c>
      <c r="D1540" s="242" t="s">
        <v>1131</v>
      </c>
      <c r="E1540" s="242"/>
      <c r="F1540" s="243">
        <v>7605873.7699999996</v>
      </c>
      <c r="G1540" s="243">
        <v>7527083.0800000001</v>
      </c>
      <c r="H1540" s="243">
        <f t="shared" si="50"/>
        <v>98.964081019714328</v>
      </c>
      <c r="I1540" s="123" t="str">
        <f t="shared" si="49"/>
        <v>07090130060000</v>
      </c>
    </row>
    <row r="1541" spans="1:9" ht="63.75">
      <c r="A1541" s="241" t="s">
        <v>1318</v>
      </c>
      <c r="B1541" s="242" t="s">
        <v>207</v>
      </c>
      <c r="C1541" s="242" t="s">
        <v>420</v>
      </c>
      <c r="D1541" s="242" t="s">
        <v>1131</v>
      </c>
      <c r="E1541" s="242" t="s">
        <v>273</v>
      </c>
      <c r="F1541" s="243">
        <v>7446999.7999999998</v>
      </c>
      <c r="G1541" s="243">
        <v>7377369.1100000003</v>
      </c>
      <c r="H1541" s="243">
        <f t="shared" si="50"/>
        <v>99.064983323888384</v>
      </c>
      <c r="I1541" s="123" t="str">
        <f t="shared" si="49"/>
        <v>07090130060000100</v>
      </c>
    </row>
    <row r="1542" spans="1:9" ht="25.5">
      <c r="A1542" s="241" t="s">
        <v>1203</v>
      </c>
      <c r="B1542" s="242" t="s">
        <v>207</v>
      </c>
      <c r="C1542" s="242" t="s">
        <v>420</v>
      </c>
      <c r="D1542" s="242" t="s">
        <v>1131</v>
      </c>
      <c r="E1542" s="242" t="s">
        <v>28</v>
      </c>
      <c r="F1542" s="243">
        <v>7446999.7999999998</v>
      </c>
      <c r="G1542" s="243">
        <v>7377369.1100000003</v>
      </c>
      <c r="H1542" s="243">
        <f t="shared" si="50"/>
        <v>99.064983323888384</v>
      </c>
      <c r="I1542" s="123" t="str">
        <f t="shared" si="49"/>
        <v>07090130060000120</v>
      </c>
    </row>
    <row r="1543" spans="1:9" ht="25.5">
      <c r="A1543" s="241" t="s">
        <v>953</v>
      </c>
      <c r="B1543" s="242" t="s">
        <v>207</v>
      </c>
      <c r="C1543" s="242" t="s">
        <v>420</v>
      </c>
      <c r="D1543" s="242" t="s">
        <v>1131</v>
      </c>
      <c r="E1543" s="242" t="s">
        <v>324</v>
      </c>
      <c r="F1543" s="243">
        <v>5650011.96</v>
      </c>
      <c r="G1543" s="243">
        <v>5607160.6299999999</v>
      </c>
      <c r="H1543" s="243">
        <f t="shared" si="50"/>
        <v>99.241570985984254</v>
      </c>
      <c r="I1543" s="123" t="str">
        <f t="shared" si="49"/>
        <v>07090130060000121</v>
      </c>
    </row>
    <row r="1544" spans="1:9" ht="38.25">
      <c r="A1544" s="241" t="s">
        <v>325</v>
      </c>
      <c r="B1544" s="242" t="s">
        <v>207</v>
      </c>
      <c r="C1544" s="242" t="s">
        <v>420</v>
      </c>
      <c r="D1544" s="242" t="s">
        <v>1131</v>
      </c>
      <c r="E1544" s="242" t="s">
        <v>326</v>
      </c>
      <c r="F1544" s="243">
        <v>96895.8</v>
      </c>
      <c r="G1544" s="243">
        <v>96895.8</v>
      </c>
      <c r="H1544" s="243">
        <f t="shared" si="50"/>
        <v>100</v>
      </c>
      <c r="I1544" s="123" t="str">
        <f t="shared" si="49"/>
        <v>07090130060000122</v>
      </c>
    </row>
    <row r="1545" spans="1:9" ht="38.25">
      <c r="A1545" s="241" t="s">
        <v>1054</v>
      </c>
      <c r="B1545" s="242" t="s">
        <v>207</v>
      </c>
      <c r="C1545" s="242" t="s">
        <v>420</v>
      </c>
      <c r="D1545" s="242" t="s">
        <v>1131</v>
      </c>
      <c r="E1545" s="242" t="s">
        <v>1055</v>
      </c>
      <c r="F1545" s="243">
        <v>1700092.04</v>
      </c>
      <c r="G1545" s="243">
        <v>1673312.68</v>
      </c>
      <c r="H1545" s="243">
        <f t="shared" si="50"/>
        <v>98.424828811033066</v>
      </c>
      <c r="I1545" s="123" t="str">
        <f t="shared" si="49"/>
        <v>07090130060000129</v>
      </c>
    </row>
    <row r="1546" spans="1:9" ht="25.5">
      <c r="A1546" s="241" t="s">
        <v>1319</v>
      </c>
      <c r="B1546" s="242" t="s">
        <v>207</v>
      </c>
      <c r="C1546" s="242" t="s">
        <v>420</v>
      </c>
      <c r="D1546" s="242" t="s">
        <v>1131</v>
      </c>
      <c r="E1546" s="242" t="s">
        <v>1320</v>
      </c>
      <c r="F1546" s="243">
        <v>158682</v>
      </c>
      <c r="G1546" s="243">
        <v>149522</v>
      </c>
      <c r="H1546" s="243">
        <f t="shared" si="50"/>
        <v>94.227448607907633</v>
      </c>
      <c r="I1546" s="123" t="str">
        <f t="shared" si="49"/>
        <v>07090130060000200</v>
      </c>
    </row>
    <row r="1547" spans="1:9" ht="25.5">
      <c r="A1547" s="241" t="s">
        <v>1196</v>
      </c>
      <c r="B1547" s="242" t="s">
        <v>207</v>
      </c>
      <c r="C1547" s="242" t="s">
        <v>420</v>
      </c>
      <c r="D1547" s="242" t="s">
        <v>1131</v>
      </c>
      <c r="E1547" s="242" t="s">
        <v>1197</v>
      </c>
      <c r="F1547" s="243">
        <v>158682</v>
      </c>
      <c r="G1547" s="243">
        <v>149522</v>
      </c>
      <c r="H1547" s="243">
        <f t="shared" si="50"/>
        <v>94.227448607907633</v>
      </c>
      <c r="I1547" s="123" t="str">
        <f t="shared" si="49"/>
        <v>07090130060000240</v>
      </c>
    </row>
    <row r="1548" spans="1:9">
      <c r="A1548" s="241" t="s">
        <v>1223</v>
      </c>
      <c r="B1548" s="242" t="s">
        <v>207</v>
      </c>
      <c r="C1548" s="242" t="s">
        <v>420</v>
      </c>
      <c r="D1548" s="242" t="s">
        <v>1131</v>
      </c>
      <c r="E1548" s="242" t="s">
        <v>329</v>
      </c>
      <c r="F1548" s="243">
        <v>158682</v>
      </c>
      <c r="G1548" s="243">
        <v>149522</v>
      </c>
      <c r="H1548" s="243">
        <f t="shared" si="50"/>
        <v>94.227448607907633</v>
      </c>
      <c r="I1548" s="123" t="str">
        <f t="shared" si="49"/>
        <v>07090130060000244</v>
      </c>
    </row>
    <row r="1549" spans="1:9">
      <c r="A1549" s="241" t="s">
        <v>1321</v>
      </c>
      <c r="B1549" s="242" t="s">
        <v>207</v>
      </c>
      <c r="C1549" s="242" t="s">
        <v>420</v>
      </c>
      <c r="D1549" s="242" t="s">
        <v>1131</v>
      </c>
      <c r="E1549" s="242" t="s">
        <v>1322</v>
      </c>
      <c r="F1549" s="243">
        <v>191.97</v>
      </c>
      <c r="G1549" s="243">
        <v>191.97</v>
      </c>
      <c r="H1549" s="243">
        <f t="shared" si="50"/>
        <v>100</v>
      </c>
      <c r="I1549" s="123" t="str">
        <f t="shared" si="49"/>
        <v>07090130060000800</v>
      </c>
    </row>
    <row r="1550" spans="1:9">
      <c r="A1550" s="241" t="s">
        <v>1201</v>
      </c>
      <c r="B1550" s="242" t="s">
        <v>207</v>
      </c>
      <c r="C1550" s="242" t="s">
        <v>420</v>
      </c>
      <c r="D1550" s="242" t="s">
        <v>1131</v>
      </c>
      <c r="E1550" s="242" t="s">
        <v>1202</v>
      </c>
      <c r="F1550" s="243">
        <v>191.97</v>
      </c>
      <c r="G1550" s="243">
        <v>191.97</v>
      </c>
      <c r="H1550" s="243">
        <f t="shared" si="50"/>
        <v>100</v>
      </c>
      <c r="I1550" s="123" t="str">
        <f t="shared" si="49"/>
        <v>07090130060000850</v>
      </c>
    </row>
    <row r="1551" spans="1:9">
      <c r="A1551" s="241" t="s">
        <v>1057</v>
      </c>
      <c r="B1551" s="242" t="s">
        <v>207</v>
      </c>
      <c r="C1551" s="242" t="s">
        <v>420</v>
      </c>
      <c r="D1551" s="242" t="s">
        <v>1131</v>
      </c>
      <c r="E1551" s="242" t="s">
        <v>1058</v>
      </c>
      <c r="F1551" s="243">
        <v>191.97</v>
      </c>
      <c r="G1551" s="243">
        <v>191.97</v>
      </c>
      <c r="H1551" s="243">
        <f t="shared" si="50"/>
        <v>100</v>
      </c>
      <c r="I1551" s="123" t="str">
        <f t="shared" si="49"/>
        <v>07090130060000853</v>
      </c>
    </row>
    <row r="1552" spans="1:9" ht="102">
      <c r="A1552" s="241" t="s">
        <v>614</v>
      </c>
      <c r="B1552" s="242" t="s">
        <v>207</v>
      </c>
      <c r="C1552" s="242" t="s">
        <v>420</v>
      </c>
      <c r="D1552" s="242" t="s">
        <v>1132</v>
      </c>
      <c r="E1552" s="242"/>
      <c r="F1552" s="243">
        <v>143819.78</v>
      </c>
      <c r="G1552" s="243">
        <v>143819.78</v>
      </c>
      <c r="H1552" s="243">
        <f t="shared" si="50"/>
        <v>100</v>
      </c>
      <c r="I1552" s="123" t="str">
        <f t="shared" si="49"/>
        <v>07090130067000</v>
      </c>
    </row>
    <row r="1553" spans="1:9" ht="63.75">
      <c r="A1553" s="241" t="s">
        <v>1318</v>
      </c>
      <c r="B1553" s="242" t="s">
        <v>207</v>
      </c>
      <c r="C1553" s="242" t="s">
        <v>420</v>
      </c>
      <c r="D1553" s="242" t="s">
        <v>1132</v>
      </c>
      <c r="E1553" s="242" t="s">
        <v>273</v>
      </c>
      <c r="F1553" s="243">
        <v>143819.78</v>
      </c>
      <c r="G1553" s="243">
        <v>143819.78</v>
      </c>
      <c r="H1553" s="243">
        <f t="shared" si="50"/>
        <v>100</v>
      </c>
      <c r="I1553" s="123" t="str">
        <f t="shared" si="49"/>
        <v>07090130067000100</v>
      </c>
    </row>
    <row r="1554" spans="1:9" ht="25.5">
      <c r="A1554" s="241" t="s">
        <v>1203</v>
      </c>
      <c r="B1554" s="242" t="s">
        <v>207</v>
      </c>
      <c r="C1554" s="242" t="s">
        <v>420</v>
      </c>
      <c r="D1554" s="242" t="s">
        <v>1132</v>
      </c>
      <c r="E1554" s="242" t="s">
        <v>28</v>
      </c>
      <c r="F1554" s="243">
        <v>143819.78</v>
      </c>
      <c r="G1554" s="243">
        <v>143819.78</v>
      </c>
      <c r="H1554" s="243">
        <f t="shared" si="50"/>
        <v>100</v>
      </c>
      <c r="I1554" s="123" t="str">
        <f t="shared" si="49"/>
        <v>07090130067000120</v>
      </c>
    </row>
    <row r="1555" spans="1:9" ht="38.25">
      <c r="A1555" s="241" t="s">
        <v>325</v>
      </c>
      <c r="B1555" s="242" t="s">
        <v>207</v>
      </c>
      <c r="C1555" s="242" t="s">
        <v>420</v>
      </c>
      <c r="D1555" s="242" t="s">
        <v>1132</v>
      </c>
      <c r="E1555" s="242" t="s">
        <v>326</v>
      </c>
      <c r="F1555" s="243">
        <v>143819.78</v>
      </c>
      <c r="G1555" s="243">
        <v>143819.78</v>
      </c>
      <c r="H1555" s="243">
        <f t="shared" si="50"/>
        <v>100</v>
      </c>
      <c r="I1555" s="123" t="str">
        <f t="shared" si="49"/>
        <v>07090130067000122</v>
      </c>
    </row>
    <row r="1556" spans="1:9" ht="76.5">
      <c r="A1556" s="241" t="s">
        <v>2258</v>
      </c>
      <c r="B1556" s="242" t="s">
        <v>207</v>
      </c>
      <c r="C1556" s="242" t="s">
        <v>420</v>
      </c>
      <c r="D1556" s="242" t="s">
        <v>2259</v>
      </c>
      <c r="E1556" s="242"/>
      <c r="F1556" s="243">
        <v>180000</v>
      </c>
      <c r="G1556" s="243">
        <v>180000</v>
      </c>
      <c r="H1556" s="243">
        <f t="shared" si="50"/>
        <v>100</v>
      </c>
      <c r="I1556" s="123" t="str">
        <f t="shared" si="49"/>
        <v>07090130080020</v>
      </c>
    </row>
    <row r="1557" spans="1:9" ht="63.75">
      <c r="A1557" s="241" t="s">
        <v>1318</v>
      </c>
      <c r="B1557" s="242" t="s">
        <v>207</v>
      </c>
      <c r="C1557" s="242" t="s">
        <v>420</v>
      </c>
      <c r="D1557" s="242" t="s">
        <v>2259</v>
      </c>
      <c r="E1557" s="242" t="s">
        <v>273</v>
      </c>
      <c r="F1557" s="243">
        <v>180000</v>
      </c>
      <c r="G1557" s="243">
        <v>180000</v>
      </c>
      <c r="H1557" s="243">
        <f t="shared" si="50"/>
        <v>100</v>
      </c>
      <c r="I1557" s="123" t="str">
        <f t="shared" si="49"/>
        <v>07090130080020100</v>
      </c>
    </row>
    <row r="1558" spans="1:9" ht="25.5">
      <c r="A1558" s="241" t="s">
        <v>1203</v>
      </c>
      <c r="B1558" s="242" t="s">
        <v>207</v>
      </c>
      <c r="C1558" s="242" t="s">
        <v>420</v>
      </c>
      <c r="D1558" s="242" t="s">
        <v>2259</v>
      </c>
      <c r="E1558" s="242" t="s">
        <v>28</v>
      </c>
      <c r="F1558" s="243">
        <v>180000</v>
      </c>
      <c r="G1558" s="243">
        <v>180000</v>
      </c>
      <c r="H1558" s="243">
        <f t="shared" si="50"/>
        <v>100</v>
      </c>
      <c r="I1558" s="123" t="str">
        <f t="shared" si="49"/>
        <v>07090130080020120</v>
      </c>
    </row>
    <row r="1559" spans="1:9" ht="38.25">
      <c r="A1559" s="241" t="s">
        <v>325</v>
      </c>
      <c r="B1559" s="242" t="s">
        <v>207</v>
      </c>
      <c r="C1559" s="242" t="s">
        <v>420</v>
      </c>
      <c r="D1559" s="242" t="s">
        <v>2259</v>
      </c>
      <c r="E1559" s="242" t="s">
        <v>326</v>
      </c>
      <c r="F1559" s="243">
        <v>180000</v>
      </c>
      <c r="G1559" s="243">
        <v>180000</v>
      </c>
      <c r="H1559" s="243">
        <f t="shared" si="50"/>
        <v>100</v>
      </c>
      <c r="I1559" s="123" t="str">
        <f t="shared" si="49"/>
        <v>07090130080020122</v>
      </c>
    </row>
    <row r="1560" spans="1:9">
      <c r="A1560" s="241" t="s">
        <v>141</v>
      </c>
      <c r="B1560" s="242" t="s">
        <v>207</v>
      </c>
      <c r="C1560" s="242" t="s">
        <v>1143</v>
      </c>
      <c r="D1560" s="242"/>
      <c r="E1560" s="242"/>
      <c r="F1560" s="243">
        <v>49965376.229999997</v>
      </c>
      <c r="G1560" s="243">
        <v>47851414.909999996</v>
      </c>
      <c r="H1560" s="243">
        <f t="shared" si="50"/>
        <v>95.769147598791122</v>
      </c>
      <c r="I1560" s="123" t="str">
        <f t="shared" si="49"/>
        <v>1000</v>
      </c>
    </row>
    <row r="1561" spans="1:9">
      <c r="A1561" s="241" t="s">
        <v>98</v>
      </c>
      <c r="B1561" s="242" t="s">
        <v>207</v>
      </c>
      <c r="C1561" s="242" t="s">
        <v>378</v>
      </c>
      <c r="D1561" s="242"/>
      <c r="E1561" s="242"/>
      <c r="F1561" s="243">
        <v>48476496.229999997</v>
      </c>
      <c r="G1561" s="243">
        <v>46362605.25</v>
      </c>
      <c r="H1561" s="243">
        <f t="shared" si="50"/>
        <v>95.639348665030369</v>
      </c>
      <c r="I1561" s="123" t="str">
        <f t="shared" si="49"/>
        <v>1003</v>
      </c>
    </row>
    <row r="1562" spans="1:9" ht="25.5">
      <c r="A1562" s="241" t="s">
        <v>442</v>
      </c>
      <c r="B1562" s="242" t="s">
        <v>207</v>
      </c>
      <c r="C1562" s="242" t="s">
        <v>378</v>
      </c>
      <c r="D1562" s="242" t="s">
        <v>971</v>
      </c>
      <c r="E1562" s="242"/>
      <c r="F1562" s="243">
        <v>48476496.229999997</v>
      </c>
      <c r="G1562" s="243">
        <v>46362605.25</v>
      </c>
      <c r="H1562" s="243">
        <f t="shared" si="50"/>
        <v>95.639348665030369</v>
      </c>
      <c r="I1562" s="123" t="str">
        <f t="shared" si="49"/>
        <v>10030100000000</v>
      </c>
    </row>
    <row r="1563" spans="1:9" ht="25.5">
      <c r="A1563" s="241" t="s">
        <v>443</v>
      </c>
      <c r="B1563" s="242" t="s">
        <v>207</v>
      </c>
      <c r="C1563" s="242" t="s">
        <v>378</v>
      </c>
      <c r="D1563" s="242" t="s">
        <v>972</v>
      </c>
      <c r="E1563" s="242"/>
      <c r="F1563" s="243">
        <v>48476496.229999997</v>
      </c>
      <c r="G1563" s="243">
        <v>46362605.25</v>
      </c>
      <c r="H1563" s="243">
        <f t="shared" si="50"/>
        <v>95.639348665030369</v>
      </c>
      <c r="I1563" s="123" t="str">
        <f t="shared" si="49"/>
        <v>10030110000000</v>
      </c>
    </row>
    <row r="1564" spans="1:9" ht="153">
      <c r="A1564" s="241" t="s">
        <v>1360</v>
      </c>
      <c r="B1564" s="242" t="s">
        <v>207</v>
      </c>
      <c r="C1564" s="242" t="s">
        <v>378</v>
      </c>
      <c r="D1564" s="242" t="s">
        <v>785</v>
      </c>
      <c r="E1564" s="242"/>
      <c r="F1564" s="243">
        <v>817000</v>
      </c>
      <c r="G1564" s="243">
        <v>817000</v>
      </c>
      <c r="H1564" s="243">
        <f t="shared" si="50"/>
        <v>100</v>
      </c>
      <c r="I1564" s="123" t="str">
        <f t="shared" si="49"/>
        <v>10030110075540</v>
      </c>
    </row>
    <row r="1565" spans="1:9" ht="25.5">
      <c r="A1565" s="241" t="s">
        <v>1319</v>
      </c>
      <c r="B1565" s="242" t="s">
        <v>207</v>
      </c>
      <c r="C1565" s="242" t="s">
        <v>378</v>
      </c>
      <c r="D1565" s="242" t="s">
        <v>785</v>
      </c>
      <c r="E1565" s="242" t="s">
        <v>1320</v>
      </c>
      <c r="F1565" s="243">
        <v>817000</v>
      </c>
      <c r="G1565" s="243">
        <v>817000</v>
      </c>
      <c r="H1565" s="243">
        <f t="shared" si="50"/>
        <v>100</v>
      </c>
      <c r="I1565" s="123" t="str">
        <f t="shared" si="49"/>
        <v>10030110075540200</v>
      </c>
    </row>
    <row r="1566" spans="1:9" ht="25.5">
      <c r="A1566" s="241" t="s">
        <v>1196</v>
      </c>
      <c r="B1566" s="242" t="s">
        <v>207</v>
      </c>
      <c r="C1566" s="242" t="s">
        <v>378</v>
      </c>
      <c r="D1566" s="242" t="s">
        <v>785</v>
      </c>
      <c r="E1566" s="242" t="s">
        <v>1197</v>
      </c>
      <c r="F1566" s="243">
        <v>817000</v>
      </c>
      <c r="G1566" s="243">
        <v>817000</v>
      </c>
      <c r="H1566" s="243">
        <f t="shared" si="50"/>
        <v>100</v>
      </c>
      <c r="I1566" s="123" t="str">
        <f t="shared" si="49"/>
        <v>10030110075540240</v>
      </c>
    </row>
    <row r="1567" spans="1:9">
      <c r="A1567" s="241" t="s">
        <v>1223</v>
      </c>
      <c r="B1567" s="242" t="s">
        <v>207</v>
      </c>
      <c r="C1567" s="242" t="s">
        <v>378</v>
      </c>
      <c r="D1567" s="242" t="s">
        <v>785</v>
      </c>
      <c r="E1567" s="242" t="s">
        <v>329</v>
      </c>
      <c r="F1567" s="243">
        <v>817000</v>
      </c>
      <c r="G1567" s="243">
        <v>817000</v>
      </c>
      <c r="H1567" s="243">
        <f t="shared" si="50"/>
        <v>100</v>
      </c>
      <c r="I1567" s="123" t="str">
        <f t="shared" si="49"/>
        <v>10030110075540244</v>
      </c>
    </row>
    <row r="1568" spans="1:9" ht="114.75">
      <c r="A1568" s="241" t="s">
        <v>1361</v>
      </c>
      <c r="B1568" s="242" t="s">
        <v>207</v>
      </c>
      <c r="C1568" s="242" t="s">
        <v>378</v>
      </c>
      <c r="D1568" s="242" t="s">
        <v>786</v>
      </c>
      <c r="E1568" s="242"/>
      <c r="F1568" s="243">
        <v>18801300</v>
      </c>
      <c r="G1568" s="243">
        <v>18768946.149999999</v>
      </c>
      <c r="H1568" s="243">
        <f t="shared" si="50"/>
        <v>99.827916952551149</v>
      </c>
      <c r="I1568" s="123" t="str">
        <f t="shared" si="49"/>
        <v>10030110075660</v>
      </c>
    </row>
    <row r="1569" spans="1:9" ht="63.75">
      <c r="A1569" s="241" t="s">
        <v>1318</v>
      </c>
      <c r="B1569" s="242" t="s">
        <v>207</v>
      </c>
      <c r="C1569" s="242" t="s">
        <v>378</v>
      </c>
      <c r="D1569" s="242" t="s">
        <v>786</v>
      </c>
      <c r="E1569" s="242" t="s">
        <v>273</v>
      </c>
      <c r="F1569" s="243">
        <v>2023711.62</v>
      </c>
      <c r="G1569" s="243">
        <v>2022452.54</v>
      </c>
      <c r="H1569" s="243">
        <f t="shared" si="50"/>
        <v>99.937783625514783</v>
      </c>
      <c r="I1569" s="123" t="str">
        <f t="shared" si="49"/>
        <v>10030110075660100</v>
      </c>
    </row>
    <row r="1570" spans="1:9">
      <c r="A1570" s="241" t="s">
        <v>1190</v>
      </c>
      <c r="B1570" s="242" t="s">
        <v>207</v>
      </c>
      <c r="C1570" s="242" t="s">
        <v>378</v>
      </c>
      <c r="D1570" s="242" t="s">
        <v>786</v>
      </c>
      <c r="E1570" s="242" t="s">
        <v>133</v>
      </c>
      <c r="F1570" s="243">
        <v>2023711.62</v>
      </c>
      <c r="G1570" s="243">
        <v>2022452.54</v>
      </c>
      <c r="H1570" s="243">
        <f t="shared" si="50"/>
        <v>99.937783625514783</v>
      </c>
      <c r="I1570" s="123" t="str">
        <f t="shared" si="49"/>
        <v>10030110075660110</v>
      </c>
    </row>
    <row r="1571" spans="1:9">
      <c r="A1571" s="241" t="s">
        <v>1138</v>
      </c>
      <c r="B1571" s="242" t="s">
        <v>207</v>
      </c>
      <c r="C1571" s="242" t="s">
        <v>378</v>
      </c>
      <c r="D1571" s="242" t="s">
        <v>786</v>
      </c>
      <c r="E1571" s="242" t="s">
        <v>342</v>
      </c>
      <c r="F1571" s="243">
        <v>1554310</v>
      </c>
      <c r="G1571" s="243">
        <v>1553343.19</v>
      </c>
      <c r="H1571" s="243">
        <f t="shared" si="50"/>
        <v>99.93779812263962</v>
      </c>
      <c r="I1571" s="123" t="str">
        <f t="shared" si="49"/>
        <v>10030110075660111</v>
      </c>
    </row>
    <row r="1572" spans="1:9" ht="38.25">
      <c r="A1572" s="241" t="s">
        <v>1139</v>
      </c>
      <c r="B1572" s="242" t="s">
        <v>207</v>
      </c>
      <c r="C1572" s="242" t="s">
        <v>378</v>
      </c>
      <c r="D1572" s="242" t="s">
        <v>786</v>
      </c>
      <c r="E1572" s="242" t="s">
        <v>1056</v>
      </c>
      <c r="F1572" s="243">
        <v>469401.62</v>
      </c>
      <c r="G1572" s="243">
        <v>469109.35</v>
      </c>
      <c r="H1572" s="243">
        <f t="shared" si="50"/>
        <v>99.937735621790139</v>
      </c>
      <c r="I1572" s="123" t="str">
        <f t="shared" ref="I1572:I1635" si="51">CONCATENATE(C1572,D1572,E1572)</f>
        <v>10030110075660119</v>
      </c>
    </row>
    <row r="1573" spans="1:9" ht="25.5">
      <c r="A1573" s="241" t="s">
        <v>1319</v>
      </c>
      <c r="B1573" s="242" t="s">
        <v>207</v>
      </c>
      <c r="C1573" s="242" t="s">
        <v>378</v>
      </c>
      <c r="D1573" s="242" t="s">
        <v>786</v>
      </c>
      <c r="E1573" s="242" t="s">
        <v>1320</v>
      </c>
      <c r="F1573" s="243">
        <v>15845262.85</v>
      </c>
      <c r="G1573" s="243">
        <v>15825261.41</v>
      </c>
      <c r="H1573" s="243">
        <f t="shared" si="50"/>
        <v>99.873770222751475</v>
      </c>
      <c r="I1573" s="123" t="str">
        <f t="shared" si="51"/>
        <v>10030110075660200</v>
      </c>
    </row>
    <row r="1574" spans="1:9" ht="25.5">
      <c r="A1574" s="241" t="s">
        <v>1196</v>
      </c>
      <c r="B1574" s="242" t="s">
        <v>207</v>
      </c>
      <c r="C1574" s="242" t="s">
        <v>378</v>
      </c>
      <c r="D1574" s="242" t="s">
        <v>786</v>
      </c>
      <c r="E1574" s="242" t="s">
        <v>1197</v>
      </c>
      <c r="F1574" s="243">
        <v>15845262.85</v>
      </c>
      <c r="G1574" s="243">
        <v>15825261.41</v>
      </c>
      <c r="H1574" s="243">
        <f t="shared" si="50"/>
        <v>99.873770222751475</v>
      </c>
      <c r="I1574" s="123" t="str">
        <f t="shared" si="51"/>
        <v>10030110075660240</v>
      </c>
    </row>
    <row r="1575" spans="1:9">
      <c r="A1575" s="241" t="s">
        <v>1223</v>
      </c>
      <c r="B1575" s="242" t="s">
        <v>207</v>
      </c>
      <c r="C1575" s="242" t="s">
        <v>378</v>
      </c>
      <c r="D1575" s="242" t="s">
        <v>786</v>
      </c>
      <c r="E1575" s="242" t="s">
        <v>329</v>
      </c>
      <c r="F1575" s="243">
        <v>15845262.85</v>
      </c>
      <c r="G1575" s="243">
        <v>15825261.41</v>
      </c>
      <c r="H1575" s="243">
        <f t="shared" si="50"/>
        <v>99.873770222751475</v>
      </c>
      <c r="I1575" s="123" t="str">
        <f t="shared" si="51"/>
        <v>10030110075660244</v>
      </c>
    </row>
    <row r="1576" spans="1:9">
      <c r="A1576" s="241" t="s">
        <v>1323</v>
      </c>
      <c r="B1576" s="242" t="s">
        <v>207</v>
      </c>
      <c r="C1576" s="242" t="s">
        <v>378</v>
      </c>
      <c r="D1576" s="242" t="s">
        <v>786</v>
      </c>
      <c r="E1576" s="242" t="s">
        <v>1324</v>
      </c>
      <c r="F1576" s="243">
        <v>932325.53</v>
      </c>
      <c r="G1576" s="243">
        <v>921232.2</v>
      </c>
      <c r="H1576" s="243">
        <f t="shared" si="50"/>
        <v>98.810144134956801</v>
      </c>
      <c r="I1576" s="123" t="str">
        <f t="shared" si="51"/>
        <v>10030110075660300</v>
      </c>
    </row>
    <row r="1577" spans="1:9" ht="25.5">
      <c r="A1577" s="241" t="s">
        <v>1200</v>
      </c>
      <c r="B1577" s="242" t="s">
        <v>207</v>
      </c>
      <c r="C1577" s="242" t="s">
        <v>378</v>
      </c>
      <c r="D1577" s="242" t="s">
        <v>786</v>
      </c>
      <c r="E1577" s="242" t="s">
        <v>557</v>
      </c>
      <c r="F1577" s="243">
        <v>932325.53</v>
      </c>
      <c r="G1577" s="243">
        <v>921232.2</v>
      </c>
      <c r="H1577" s="243">
        <f t="shared" si="50"/>
        <v>98.810144134956801</v>
      </c>
      <c r="I1577" s="123" t="str">
        <f t="shared" si="51"/>
        <v>10030110075660320</v>
      </c>
    </row>
    <row r="1578" spans="1:9" ht="25.5">
      <c r="A1578" s="241" t="s">
        <v>379</v>
      </c>
      <c r="B1578" s="242" t="s">
        <v>207</v>
      </c>
      <c r="C1578" s="242" t="s">
        <v>378</v>
      </c>
      <c r="D1578" s="242" t="s">
        <v>786</v>
      </c>
      <c r="E1578" s="242" t="s">
        <v>380</v>
      </c>
      <c r="F1578" s="243">
        <v>932325.53</v>
      </c>
      <c r="G1578" s="243">
        <v>921232.2</v>
      </c>
      <c r="H1578" s="243">
        <f t="shared" si="50"/>
        <v>98.810144134956801</v>
      </c>
      <c r="I1578" s="123" t="str">
        <f t="shared" si="51"/>
        <v>10030110075660321</v>
      </c>
    </row>
    <row r="1579" spans="1:9" ht="140.25">
      <c r="A1579" s="241" t="s">
        <v>1666</v>
      </c>
      <c r="B1579" s="242" t="s">
        <v>207</v>
      </c>
      <c r="C1579" s="242" t="s">
        <v>378</v>
      </c>
      <c r="D1579" s="242" t="s">
        <v>1667</v>
      </c>
      <c r="E1579" s="242"/>
      <c r="F1579" s="243">
        <v>28858196.23</v>
      </c>
      <c r="G1579" s="243">
        <v>26776659.100000001</v>
      </c>
      <c r="H1579" s="243">
        <f t="shared" si="50"/>
        <v>92.787015815506507</v>
      </c>
      <c r="I1579" s="123" t="str">
        <f t="shared" si="51"/>
        <v>100301100L3040</v>
      </c>
    </row>
    <row r="1580" spans="1:9" ht="25.5">
      <c r="A1580" s="241" t="s">
        <v>1319</v>
      </c>
      <c r="B1580" s="242" t="s">
        <v>207</v>
      </c>
      <c r="C1580" s="242" t="s">
        <v>378</v>
      </c>
      <c r="D1580" s="242" t="s">
        <v>1667</v>
      </c>
      <c r="E1580" s="242" t="s">
        <v>1320</v>
      </c>
      <c r="F1580" s="243">
        <v>28858196.23</v>
      </c>
      <c r="G1580" s="243">
        <v>26776659.100000001</v>
      </c>
      <c r="H1580" s="243">
        <f t="shared" si="50"/>
        <v>92.787015815506507</v>
      </c>
      <c r="I1580" s="123" t="str">
        <f t="shared" si="51"/>
        <v>100301100L3040200</v>
      </c>
    </row>
    <row r="1581" spans="1:9" ht="25.5">
      <c r="A1581" s="241" t="s">
        <v>1196</v>
      </c>
      <c r="B1581" s="242" t="s">
        <v>207</v>
      </c>
      <c r="C1581" s="242" t="s">
        <v>378</v>
      </c>
      <c r="D1581" s="242" t="s">
        <v>1667</v>
      </c>
      <c r="E1581" s="242" t="s">
        <v>1197</v>
      </c>
      <c r="F1581" s="243">
        <v>28858196.23</v>
      </c>
      <c r="G1581" s="243">
        <v>26776659.100000001</v>
      </c>
      <c r="H1581" s="243">
        <f t="shared" si="50"/>
        <v>92.787015815506507</v>
      </c>
      <c r="I1581" s="123" t="str">
        <f t="shared" si="51"/>
        <v>100301100L3040240</v>
      </c>
    </row>
    <row r="1582" spans="1:9">
      <c r="A1582" s="241" t="s">
        <v>1223</v>
      </c>
      <c r="B1582" s="242" t="s">
        <v>207</v>
      </c>
      <c r="C1582" s="242" t="s">
        <v>378</v>
      </c>
      <c r="D1582" s="242" t="s">
        <v>1667</v>
      </c>
      <c r="E1582" s="242" t="s">
        <v>329</v>
      </c>
      <c r="F1582" s="243">
        <v>28858196.23</v>
      </c>
      <c r="G1582" s="243">
        <v>26776659.100000001</v>
      </c>
      <c r="H1582" s="243">
        <f t="shared" si="50"/>
        <v>92.787015815506507</v>
      </c>
      <c r="I1582" s="123" t="str">
        <f t="shared" si="51"/>
        <v>100301100L3040244</v>
      </c>
    </row>
    <row r="1583" spans="1:9">
      <c r="A1583" s="241" t="s">
        <v>18</v>
      </c>
      <c r="B1583" s="242" t="s">
        <v>207</v>
      </c>
      <c r="C1583" s="242" t="s">
        <v>423</v>
      </c>
      <c r="D1583" s="242"/>
      <c r="E1583" s="242"/>
      <c r="F1583" s="243">
        <v>1488880</v>
      </c>
      <c r="G1583" s="243">
        <v>1488809.66</v>
      </c>
      <c r="H1583" s="243">
        <f t="shared" si="50"/>
        <v>99.995275643436671</v>
      </c>
      <c r="I1583" s="123" t="str">
        <f t="shared" si="51"/>
        <v>1004</v>
      </c>
    </row>
    <row r="1584" spans="1:9" ht="25.5">
      <c r="A1584" s="241" t="s">
        <v>442</v>
      </c>
      <c r="B1584" s="242" t="s">
        <v>207</v>
      </c>
      <c r="C1584" s="242" t="s">
        <v>423</v>
      </c>
      <c r="D1584" s="242" t="s">
        <v>971</v>
      </c>
      <c r="E1584" s="242"/>
      <c r="F1584" s="243">
        <v>1488880</v>
      </c>
      <c r="G1584" s="243">
        <v>1488809.66</v>
      </c>
      <c r="H1584" s="243">
        <f t="shared" si="50"/>
        <v>99.995275643436671</v>
      </c>
      <c r="I1584" s="123" t="str">
        <f t="shared" si="51"/>
        <v>10040100000000</v>
      </c>
    </row>
    <row r="1585" spans="1:9" ht="25.5">
      <c r="A1585" s="241" t="s">
        <v>443</v>
      </c>
      <c r="B1585" s="242" t="s">
        <v>207</v>
      </c>
      <c r="C1585" s="242" t="s">
        <v>423</v>
      </c>
      <c r="D1585" s="242" t="s">
        <v>972</v>
      </c>
      <c r="E1585" s="242"/>
      <c r="F1585" s="243">
        <v>1488880</v>
      </c>
      <c r="G1585" s="243">
        <v>1488809.66</v>
      </c>
      <c r="H1585" s="243">
        <f t="shared" si="50"/>
        <v>99.995275643436671</v>
      </c>
      <c r="I1585" s="123" t="str">
        <f t="shared" si="51"/>
        <v>10040110000000</v>
      </c>
    </row>
    <row r="1586" spans="1:9" ht="102">
      <c r="A1586" s="241" t="s">
        <v>1362</v>
      </c>
      <c r="B1586" s="242" t="s">
        <v>207</v>
      </c>
      <c r="C1586" s="242" t="s">
        <v>423</v>
      </c>
      <c r="D1586" s="242" t="s">
        <v>787</v>
      </c>
      <c r="E1586" s="242"/>
      <c r="F1586" s="243">
        <v>1488880</v>
      </c>
      <c r="G1586" s="243">
        <v>1488809.66</v>
      </c>
      <c r="H1586" s="243">
        <f t="shared" si="50"/>
        <v>99.995275643436671</v>
      </c>
      <c r="I1586" s="123" t="str">
        <f t="shared" si="51"/>
        <v>10040110075560</v>
      </c>
    </row>
    <row r="1587" spans="1:9">
      <c r="A1587" s="241" t="s">
        <v>1323</v>
      </c>
      <c r="B1587" s="242" t="s">
        <v>207</v>
      </c>
      <c r="C1587" s="242" t="s">
        <v>423</v>
      </c>
      <c r="D1587" s="242" t="s">
        <v>787</v>
      </c>
      <c r="E1587" s="242" t="s">
        <v>1324</v>
      </c>
      <c r="F1587" s="243">
        <v>1488880</v>
      </c>
      <c r="G1587" s="243">
        <v>1488809.66</v>
      </c>
      <c r="H1587" s="243">
        <f t="shared" si="50"/>
        <v>99.995275643436671</v>
      </c>
      <c r="I1587" s="123" t="str">
        <f t="shared" si="51"/>
        <v>10040110075560300</v>
      </c>
    </row>
    <row r="1588" spans="1:9" ht="25.5">
      <c r="A1588" s="241" t="s">
        <v>1200</v>
      </c>
      <c r="B1588" s="242" t="s">
        <v>207</v>
      </c>
      <c r="C1588" s="242" t="s">
        <v>423</v>
      </c>
      <c r="D1588" s="242" t="s">
        <v>787</v>
      </c>
      <c r="E1588" s="242" t="s">
        <v>557</v>
      </c>
      <c r="F1588" s="243">
        <v>1488880</v>
      </c>
      <c r="G1588" s="243">
        <v>1488809.66</v>
      </c>
      <c r="H1588" s="243">
        <f t="shared" si="50"/>
        <v>99.995275643436671</v>
      </c>
      <c r="I1588" s="123" t="str">
        <f t="shared" si="51"/>
        <v>10040110075560320</v>
      </c>
    </row>
    <row r="1589" spans="1:9" ht="25.5">
      <c r="A1589" s="241" t="s">
        <v>379</v>
      </c>
      <c r="B1589" s="242" t="s">
        <v>207</v>
      </c>
      <c r="C1589" s="242" t="s">
        <v>423</v>
      </c>
      <c r="D1589" s="242" t="s">
        <v>787</v>
      </c>
      <c r="E1589" s="242" t="s">
        <v>380</v>
      </c>
      <c r="F1589" s="243">
        <v>1488880</v>
      </c>
      <c r="G1589" s="243">
        <v>1488809.66</v>
      </c>
      <c r="H1589" s="243">
        <f t="shared" si="50"/>
        <v>99.995275643436671</v>
      </c>
      <c r="I1589" s="123" t="str">
        <f t="shared" si="51"/>
        <v>10040110075560321</v>
      </c>
    </row>
    <row r="1590" spans="1:9">
      <c r="A1590" s="241" t="s">
        <v>248</v>
      </c>
      <c r="B1590" s="242" t="s">
        <v>207</v>
      </c>
      <c r="C1590" s="242" t="s">
        <v>1144</v>
      </c>
      <c r="D1590" s="242"/>
      <c r="E1590" s="242"/>
      <c r="F1590" s="243">
        <v>3012253.88</v>
      </c>
      <c r="G1590" s="243">
        <v>2895494.45</v>
      </c>
      <c r="H1590" s="243">
        <f t="shared" si="50"/>
        <v>96.123851619040835</v>
      </c>
      <c r="I1590" s="123" t="str">
        <f t="shared" si="51"/>
        <v>1100</v>
      </c>
    </row>
    <row r="1591" spans="1:9">
      <c r="A1591" s="241" t="s">
        <v>1228</v>
      </c>
      <c r="B1591" s="242" t="s">
        <v>207</v>
      </c>
      <c r="C1591" s="242" t="s">
        <v>1229</v>
      </c>
      <c r="D1591" s="242"/>
      <c r="E1591" s="242"/>
      <c r="F1591" s="243">
        <v>1938956</v>
      </c>
      <c r="G1591" s="243">
        <v>1938956</v>
      </c>
      <c r="H1591" s="243">
        <f t="shared" si="50"/>
        <v>100</v>
      </c>
      <c r="I1591" s="123" t="str">
        <f t="shared" si="51"/>
        <v>1101</v>
      </c>
    </row>
    <row r="1592" spans="1:9" ht="25.5">
      <c r="A1592" s="241" t="s">
        <v>442</v>
      </c>
      <c r="B1592" s="242" t="s">
        <v>207</v>
      </c>
      <c r="C1592" s="242" t="s">
        <v>1229</v>
      </c>
      <c r="D1592" s="242" t="s">
        <v>971</v>
      </c>
      <c r="E1592" s="242"/>
      <c r="F1592" s="243">
        <v>1938956</v>
      </c>
      <c r="G1592" s="243">
        <v>1938956</v>
      </c>
      <c r="H1592" s="243">
        <f t="shared" si="50"/>
        <v>100</v>
      </c>
      <c r="I1592" s="123" t="str">
        <f t="shared" si="51"/>
        <v>11010100000000</v>
      </c>
    </row>
    <row r="1593" spans="1:9" ht="25.5">
      <c r="A1593" s="241" t="s">
        <v>443</v>
      </c>
      <c r="B1593" s="242" t="s">
        <v>207</v>
      </c>
      <c r="C1593" s="242" t="s">
        <v>1229</v>
      </c>
      <c r="D1593" s="242" t="s">
        <v>972</v>
      </c>
      <c r="E1593" s="242"/>
      <c r="F1593" s="243">
        <v>1938956</v>
      </c>
      <c r="G1593" s="243">
        <v>1938956</v>
      </c>
      <c r="H1593" s="243">
        <f t="shared" si="50"/>
        <v>100</v>
      </c>
      <c r="I1593" s="123" t="str">
        <f t="shared" si="51"/>
        <v>11010110000000</v>
      </c>
    </row>
    <row r="1594" spans="1:9" ht="102">
      <c r="A1594" s="241" t="s">
        <v>1786</v>
      </c>
      <c r="B1594" s="242" t="s">
        <v>207</v>
      </c>
      <c r="C1594" s="242" t="s">
        <v>1229</v>
      </c>
      <c r="D1594" s="242" t="s">
        <v>1787</v>
      </c>
      <c r="E1594" s="242"/>
      <c r="F1594" s="243">
        <v>1368100</v>
      </c>
      <c r="G1594" s="243">
        <v>1368100</v>
      </c>
      <c r="H1594" s="243">
        <f t="shared" si="50"/>
        <v>100</v>
      </c>
      <c r="I1594" s="123" t="str">
        <f t="shared" si="51"/>
        <v>11010110040031</v>
      </c>
    </row>
    <row r="1595" spans="1:9" ht="25.5">
      <c r="A1595" s="241" t="s">
        <v>1327</v>
      </c>
      <c r="B1595" s="242" t="s">
        <v>207</v>
      </c>
      <c r="C1595" s="242" t="s">
        <v>1229</v>
      </c>
      <c r="D1595" s="242" t="s">
        <v>1787</v>
      </c>
      <c r="E1595" s="242" t="s">
        <v>1328</v>
      </c>
      <c r="F1595" s="243">
        <v>1368100</v>
      </c>
      <c r="G1595" s="243">
        <v>1368100</v>
      </c>
      <c r="H1595" s="243">
        <f t="shared" si="50"/>
        <v>100</v>
      </c>
      <c r="I1595" s="123" t="str">
        <f t="shared" si="51"/>
        <v>11010110040031600</v>
      </c>
    </row>
    <row r="1596" spans="1:9">
      <c r="A1596" s="241" t="s">
        <v>1198</v>
      </c>
      <c r="B1596" s="242" t="s">
        <v>207</v>
      </c>
      <c r="C1596" s="242" t="s">
        <v>1229</v>
      </c>
      <c r="D1596" s="242" t="s">
        <v>1787</v>
      </c>
      <c r="E1596" s="242" t="s">
        <v>1199</v>
      </c>
      <c r="F1596" s="243">
        <v>1368100</v>
      </c>
      <c r="G1596" s="243">
        <v>1368100</v>
      </c>
      <c r="H1596" s="243">
        <f t="shared" si="50"/>
        <v>100</v>
      </c>
      <c r="I1596" s="123" t="str">
        <f t="shared" si="51"/>
        <v>11010110040031610</v>
      </c>
    </row>
    <row r="1597" spans="1:9" ht="51">
      <c r="A1597" s="241" t="s">
        <v>347</v>
      </c>
      <c r="B1597" s="242" t="s">
        <v>207</v>
      </c>
      <c r="C1597" s="242" t="s">
        <v>1229</v>
      </c>
      <c r="D1597" s="242" t="s">
        <v>1787</v>
      </c>
      <c r="E1597" s="242" t="s">
        <v>348</v>
      </c>
      <c r="F1597" s="243">
        <v>1368100</v>
      </c>
      <c r="G1597" s="243">
        <v>1368100</v>
      </c>
      <c r="H1597" s="243">
        <f t="shared" si="50"/>
        <v>100</v>
      </c>
      <c r="I1597" s="123" t="str">
        <f t="shared" si="51"/>
        <v>11010110040031611</v>
      </c>
    </row>
    <row r="1598" spans="1:9" ht="114.75">
      <c r="A1598" s="241" t="s">
        <v>581</v>
      </c>
      <c r="B1598" s="242" t="s">
        <v>207</v>
      </c>
      <c r="C1598" s="242" t="s">
        <v>1229</v>
      </c>
      <c r="D1598" s="242" t="s">
        <v>760</v>
      </c>
      <c r="E1598" s="242"/>
      <c r="F1598" s="243">
        <v>525096</v>
      </c>
      <c r="G1598" s="243">
        <v>525096</v>
      </c>
      <c r="H1598" s="243">
        <f t="shared" si="50"/>
        <v>100</v>
      </c>
      <c r="I1598" s="123" t="str">
        <f t="shared" si="51"/>
        <v>1101011004Г030</v>
      </c>
    </row>
    <row r="1599" spans="1:9" ht="25.5">
      <c r="A1599" s="241" t="s">
        <v>1327</v>
      </c>
      <c r="B1599" s="242" t="s">
        <v>207</v>
      </c>
      <c r="C1599" s="242" t="s">
        <v>1229</v>
      </c>
      <c r="D1599" s="242" t="s">
        <v>760</v>
      </c>
      <c r="E1599" s="242" t="s">
        <v>1328</v>
      </c>
      <c r="F1599" s="243">
        <v>525096</v>
      </c>
      <c r="G1599" s="243">
        <v>525096</v>
      </c>
      <c r="H1599" s="243">
        <f t="shared" si="50"/>
        <v>100</v>
      </c>
      <c r="I1599" s="123" t="str">
        <f t="shared" si="51"/>
        <v>1101011004Г030600</v>
      </c>
    </row>
    <row r="1600" spans="1:9">
      <c r="A1600" s="241" t="s">
        <v>1198</v>
      </c>
      <c r="B1600" s="242" t="s">
        <v>207</v>
      </c>
      <c r="C1600" s="242" t="s">
        <v>1229</v>
      </c>
      <c r="D1600" s="242" t="s">
        <v>760</v>
      </c>
      <c r="E1600" s="242" t="s">
        <v>1199</v>
      </c>
      <c r="F1600" s="243">
        <v>525096</v>
      </c>
      <c r="G1600" s="243">
        <v>525096</v>
      </c>
      <c r="H1600" s="243">
        <f t="shared" si="50"/>
        <v>100</v>
      </c>
      <c r="I1600" s="123" t="str">
        <f t="shared" si="51"/>
        <v>1101011004Г030610</v>
      </c>
    </row>
    <row r="1601" spans="1:9" ht="51">
      <c r="A1601" s="241" t="s">
        <v>347</v>
      </c>
      <c r="B1601" s="242" t="s">
        <v>207</v>
      </c>
      <c r="C1601" s="242" t="s">
        <v>1229</v>
      </c>
      <c r="D1601" s="242" t="s">
        <v>760</v>
      </c>
      <c r="E1601" s="242" t="s">
        <v>348</v>
      </c>
      <c r="F1601" s="243">
        <v>525096</v>
      </c>
      <c r="G1601" s="243">
        <v>525096</v>
      </c>
      <c r="H1601" s="243">
        <f t="shared" si="50"/>
        <v>100</v>
      </c>
      <c r="I1601" s="123" t="str">
        <f t="shared" si="51"/>
        <v>1101011004Г030611</v>
      </c>
    </row>
    <row r="1602" spans="1:9" ht="102">
      <c r="A1602" s="241" t="s">
        <v>966</v>
      </c>
      <c r="B1602" s="242" t="s">
        <v>207</v>
      </c>
      <c r="C1602" s="242" t="s">
        <v>1229</v>
      </c>
      <c r="D1602" s="242" t="s">
        <v>967</v>
      </c>
      <c r="E1602" s="242"/>
      <c r="F1602" s="243">
        <v>45760</v>
      </c>
      <c r="G1602" s="243">
        <v>45760</v>
      </c>
      <c r="H1602" s="243">
        <f t="shared" si="50"/>
        <v>100</v>
      </c>
      <c r="I1602" s="123" t="str">
        <f t="shared" si="51"/>
        <v>1101011004Э030</v>
      </c>
    </row>
    <row r="1603" spans="1:9" ht="25.5">
      <c r="A1603" s="241" t="s">
        <v>1327</v>
      </c>
      <c r="B1603" s="242" t="s">
        <v>207</v>
      </c>
      <c r="C1603" s="242" t="s">
        <v>1229</v>
      </c>
      <c r="D1603" s="242" t="s">
        <v>967</v>
      </c>
      <c r="E1603" s="242" t="s">
        <v>1328</v>
      </c>
      <c r="F1603" s="243">
        <v>45760</v>
      </c>
      <c r="G1603" s="243">
        <v>45760</v>
      </c>
      <c r="H1603" s="243">
        <f t="shared" ref="H1603:H1666" si="52">G1603/F1603*100</f>
        <v>100</v>
      </c>
      <c r="I1603" s="123" t="str">
        <f t="shared" si="51"/>
        <v>1101011004Э030600</v>
      </c>
    </row>
    <row r="1604" spans="1:9">
      <c r="A1604" s="241" t="s">
        <v>1198</v>
      </c>
      <c r="B1604" s="242" t="s">
        <v>207</v>
      </c>
      <c r="C1604" s="242" t="s">
        <v>1229</v>
      </c>
      <c r="D1604" s="242" t="s">
        <v>967</v>
      </c>
      <c r="E1604" s="242" t="s">
        <v>1199</v>
      </c>
      <c r="F1604" s="243">
        <v>45760</v>
      </c>
      <c r="G1604" s="243">
        <v>45760</v>
      </c>
      <c r="H1604" s="243">
        <f t="shared" si="52"/>
        <v>100</v>
      </c>
      <c r="I1604" s="123" t="str">
        <f t="shared" si="51"/>
        <v>1101011004Э030610</v>
      </c>
    </row>
    <row r="1605" spans="1:9" ht="51">
      <c r="A1605" s="241" t="s">
        <v>347</v>
      </c>
      <c r="B1605" s="242" t="s">
        <v>207</v>
      </c>
      <c r="C1605" s="242" t="s">
        <v>1229</v>
      </c>
      <c r="D1605" s="242" t="s">
        <v>967</v>
      </c>
      <c r="E1605" s="242" t="s">
        <v>348</v>
      </c>
      <c r="F1605" s="243">
        <v>45760</v>
      </c>
      <c r="G1605" s="243">
        <v>45760</v>
      </c>
      <c r="H1605" s="243">
        <f t="shared" si="52"/>
        <v>100</v>
      </c>
      <c r="I1605" s="123" t="str">
        <f t="shared" si="51"/>
        <v>1101011004Э030611</v>
      </c>
    </row>
    <row r="1606" spans="1:9">
      <c r="A1606" s="241" t="s">
        <v>210</v>
      </c>
      <c r="B1606" s="242" t="s">
        <v>207</v>
      </c>
      <c r="C1606" s="242" t="s">
        <v>381</v>
      </c>
      <c r="D1606" s="242"/>
      <c r="E1606" s="242"/>
      <c r="F1606" s="243">
        <v>1073297.8799999999</v>
      </c>
      <c r="G1606" s="243">
        <v>956538.45</v>
      </c>
      <c r="H1606" s="243">
        <f t="shared" si="52"/>
        <v>89.121432905467032</v>
      </c>
      <c r="I1606" s="123" t="str">
        <f t="shared" si="51"/>
        <v>1102</v>
      </c>
    </row>
    <row r="1607" spans="1:9" ht="25.5">
      <c r="A1607" s="241" t="s">
        <v>1351</v>
      </c>
      <c r="B1607" s="242" t="s">
        <v>207</v>
      </c>
      <c r="C1607" s="242" t="s">
        <v>381</v>
      </c>
      <c r="D1607" s="242" t="s">
        <v>988</v>
      </c>
      <c r="E1607" s="242"/>
      <c r="F1607" s="243">
        <v>1073297.8799999999</v>
      </c>
      <c r="G1607" s="243">
        <v>956538.45</v>
      </c>
      <c r="H1607" s="243">
        <f t="shared" si="52"/>
        <v>89.121432905467032</v>
      </c>
      <c r="I1607" s="123" t="str">
        <f t="shared" si="51"/>
        <v>11020700000000</v>
      </c>
    </row>
    <row r="1608" spans="1:9" ht="25.5">
      <c r="A1608" s="241" t="s">
        <v>475</v>
      </c>
      <c r="B1608" s="242" t="s">
        <v>207</v>
      </c>
      <c r="C1608" s="242" t="s">
        <v>381</v>
      </c>
      <c r="D1608" s="242" t="s">
        <v>989</v>
      </c>
      <c r="E1608" s="242"/>
      <c r="F1608" s="243">
        <v>1073297.8799999999</v>
      </c>
      <c r="G1608" s="243">
        <v>956538.45</v>
      </c>
      <c r="H1608" s="243">
        <f t="shared" si="52"/>
        <v>89.121432905467032</v>
      </c>
      <c r="I1608" s="123" t="str">
        <f t="shared" si="51"/>
        <v>11020710000000</v>
      </c>
    </row>
    <row r="1609" spans="1:9" ht="63.75">
      <c r="A1609" s="241" t="s">
        <v>2157</v>
      </c>
      <c r="B1609" s="242" t="s">
        <v>207</v>
      </c>
      <c r="C1609" s="242" t="s">
        <v>381</v>
      </c>
      <c r="D1609" s="242" t="s">
        <v>2158</v>
      </c>
      <c r="E1609" s="242"/>
      <c r="F1609" s="243">
        <v>1073297.8799999999</v>
      </c>
      <c r="G1609" s="243">
        <v>956538.45</v>
      </c>
      <c r="H1609" s="243">
        <f t="shared" si="52"/>
        <v>89.121432905467032</v>
      </c>
      <c r="I1609" s="123" t="str">
        <f t="shared" si="51"/>
        <v>110207100S6500</v>
      </c>
    </row>
    <row r="1610" spans="1:9" ht="25.5">
      <c r="A1610" s="241" t="s">
        <v>1327</v>
      </c>
      <c r="B1610" s="242" t="s">
        <v>207</v>
      </c>
      <c r="C1610" s="242" t="s">
        <v>381</v>
      </c>
      <c r="D1610" s="242" t="s">
        <v>2158</v>
      </c>
      <c r="E1610" s="242" t="s">
        <v>1328</v>
      </c>
      <c r="F1610" s="243">
        <v>1073297.8799999999</v>
      </c>
      <c r="G1610" s="243">
        <v>956538.45</v>
      </c>
      <c r="H1610" s="243">
        <f t="shared" si="52"/>
        <v>89.121432905467032</v>
      </c>
      <c r="I1610" s="123" t="str">
        <f t="shared" si="51"/>
        <v>110207100S6500600</v>
      </c>
    </row>
    <row r="1611" spans="1:9">
      <c r="A1611" s="241" t="s">
        <v>1198</v>
      </c>
      <c r="B1611" s="242" t="s">
        <v>207</v>
      </c>
      <c r="C1611" s="242" t="s">
        <v>381</v>
      </c>
      <c r="D1611" s="242" t="s">
        <v>2158</v>
      </c>
      <c r="E1611" s="242" t="s">
        <v>1199</v>
      </c>
      <c r="F1611" s="243">
        <v>1073297.8799999999</v>
      </c>
      <c r="G1611" s="243">
        <v>956538.45</v>
      </c>
      <c r="H1611" s="243">
        <f t="shared" si="52"/>
        <v>89.121432905467032</v>
      </c>
      <c r="I1611" s="123" t="str">
        <f t="shared" si="51"/>
        <v>110207100S6500610</v>
      </c>
    </row>
    <row r="1612" spans="1:9">
      <c r="A1612" s="241" t="s">
        <v>366</v>
      </c>
      <c r="B1612" s="242" t="s">
        <v>207</v>
      </c>
      <c r="C1612" s="242" t="s">
        <v>381</v>
      </c>
      <c r="D1612" s="242" t="s">
        <v>2158</v>
      </c>
      <c r="E1612" s="242" t="s">
        <v>367</v>
      </c>
      <c r="F1612" s="243">
        <v>1073297.8799999999</v>
      </c>
      <c r="G1612" s="243">
        <v>956538.45</v>
      </c>
      <c r="H1612" s="243">
        <f t="shared" si="52"/>
        <v>89.121432905467032</v>
      </c>
      <c r="I1612" s="123" t="str">
        <f t="shared" si="51"/>
        <v>110207100S6500612</v>
      </c>
    </row>
    <row r="1613" spans="1:9" ht="25.5">
      <c r="A1613" s="241" t="s">
        <v>1169</v>
      </c>
      <c r="B1613" s="242" t="s">
        <v>952</v>
      </c>
      <c r="C1613" s="242"/>
      <c r="D1613" s="242"/>
      <c r="E1613" s="242"/>
      <c r="F1613" s="243">
        <v>33031168.93</v>
      </c>
      <c r="G1613" s="243">
        <v>32469470.390000001</v>
      </c>
      <c r="H1613" s="243">
        <f t="shared" si="52"/>
        <v>98.299489366572658</v>
      </c>
      <c r="I1613" s="123" t="str">
        <f t="shared" si="51"/>
        <v/>
      </c>
    </row>
    <row r="1614" spans="1:9" ht="25.5">
      <c r="A1614" s="241" t="s">
        <v>238</v>
      </c>
      <c r="B1614" s="242" t="s">
        <v>952</v>
      </c>
      <c r="C1614" s="242" t="s">
        <v>1137</v>
      </c>
      <c r="D1614" s="242"/>
      <c r="E1614" s="242"/>
      <c r="F1614" s="243">
        <v>30341577.300000001</v>
      </c>
      <c r="G1614" s="243">
        <v>29779878.760000002</v>
      </c>
      <c r="H1614" s="243">
        <f t="shared" si="52"/>
        <v>98.148749702606935</v>
      </c>
      <c r="I1614" s="123" t="str">
        <f t="shared" si="51"/>
        <v>0300</v>
      </c>
    </row>
    <row r="1615" spans="1:9" ht="38.25">
      <c r="A1615" s="241" t="s">
        <v>1705</v>
      </c>
      <c r="B1615" s="242" t="s">
        <v>952</v>
      </c>
      <c r="C1615" s="242" t="s">
        <v>345</v>
      </c>
      <c r="D1615" s="242"/>
      <c r="E1615" s="242"/>
      <c r="F1615" s="243">
        <v>30341577.300000001</v>
      </c>
      <c r="G1615" s="243">
        <v>29779878.760000002</v>
      </c>
      <c r="H1615" s="243">
        <f t="shared" si="52"/>
        <v>98.148749702606935</v>
      </c>
      <c r="I1615" s="123" t="str">
        <f t="shared" si="51"/>
        <v>0310</v>
      </c>
    </row>
    <row r="1616" spans="1:9" ht="51">
      <c r="A1616" s="241" t="s">
        <v>1751</v>
      </c>
      <c r="B1616" s="242" t="s">
        <v>952</v>
      </c>
      <c r="C1616" s="242" t="s">
        <v>345</v>
      </c>
      <c r="D1616" s="242" t="s">
        <v>978</v>
      </c>
      <c r="E1616" s="242"/>
      <c r="F1616" s="243">
        <v>30341577.300000001</v>
      </c>
      <c r="G1616" s="243">
        <v>29779878.760000002</v>
      </c>
      <c r="H1616" s="243">
        <f t="shared" si="52"/>
        <v>98.148749702606935</v>
      </c>
      <c r="I1616" s="123" t="str">
        <f t="shared" si="51"/>
        <v>03100400000000</v>
      </c>
    </row>
    <row r="1617" spans="1:9" ht="25.5">
      <c r="A1617" s="241" t="s">
        <v>459</v>
      </c>
      <c r="B1617" s="242" t="s">
        <v>952</v>
      </c>
      <c r="C1617" s="242" t="s">
        <v>345</v>
      </c>
      <c r="D1617" s="242" t="s">
        <v>980</v>
      </c>
      <c r="E1617" s="242"/>
      <c r="F1617" s="243">
        <v>30341577.300000001</v>
      </c>
      <c r="G1617" s="243">
        <v>29779878.760000002</v>
      </c>
      <c r="H1617" s="243">
        <f t="shared" si="52"/>
        <v>98.148749702606935</v>
      </c>
      <c r="I1617" s="123" t="str">
        <f t="shared" si="51"/>
        <v>03100420000000</v>
      </c>
    </row>
    <row r="1618" spans="1:9" ht="102">
      <c r="A1618" s="241" t="s">
        <v>2230</v>
      </c>
      <c r="B1618" s="242" t="s">
        <v>952</v>
      </c>
      <c r="C1618" s="242" t="s">
        <v>345</v>
      </c>
      <c r="D1618" s="242" t="s">
        <v>2231</v>
      </c>
      <c r="E1618" s="242"/>
      <c r="F1618" s="243">
        <v>980146</v>
      </c>
      <c r="G1618" s="243">
        <v>980146</v>
      </c>
      <c r="H1618" s="243">
        <f t="shared" si="52"/>
        <v>100</v>
      </c>
      <c r="I1618" s="123" t="str">
        <f t="shared" si="51"/>
        <v>03100420010340</v>
      </c>
    </row>
    <row r="1619" spans="1:9" ht="63.75">
      <c r="A1619" s="241" t="s">
        <v>1318</v>
      </c>
      <c r="B1619" s="242" t="s">
        <v>952</v>
      </c>
      <c r="C1619" s="242" t="s">
        <v>345</v>
      </c>
      <c r="D1619" s="242" t="s">
        <v>2231</v>
      </c>
      <c r="E1619" s="242" t="s">
        <v>273</v>
      </c>
      <c r="F1619" s="243">
        <v>980146</v>
      </c>
      <c r="G1619" s="243">
        <v>980146</v>
      </c>
      <c r="H1619" s="243">
        <f t="shared" si="52"/>
        <v>100</v>
      </c>
      <c r="I1619" s="123" t="str">
        <f t="shared" si="51"/>
        <v>03100420010340100</v>
      </c>
    </row>
    <row r="1620" spans="1:9">
      <c r="A1620" s="241" t="s">
        <v>1190</v>
      </c>
      <c r="B1620" s="242" t="s">
        <v>952</v>
      </c>
      <c r="C1620" s="242" t="s">
        <v>345</v>
      </c>
      <c r="D1620" s="242" t="s">
        <v>2231</v>
      </c>
      <c r="E1620" s="242" t="s">
        <v>133</v>
      </c>
      <c r="F1620" s="243">
        <v>980146</v>
      </c>
      <c r="G1620" s="243">
        <v>980146</v>
      </c>
      <c r="H1620" s="243">
        <f t="shared" si="52"/>
        <v>100</v>
      </c>
      <c r="I1620" s="123" t="str">
        <f t="shared" si="51"/>
        <v>03100420010340110</v>
      </c>
    </row>
    <row r="1621" spans="1:9">
      <c r="A1621" s="241" t="s">
        <v>1138</v>
      </c>
      <c r="B1621" s="242" t="s">
        <v>952</v>
      </c>
      <c r="C1621" s="242" t="s">
        <v>345</v>
      </c>
      <c r="D1621" s="242" t="s">
        <v>2231</v>
      </c>
      <c r="E1621" s="242" t="s">
        <v>342</v>
      </c>
      <c r="F1621" s="243">
        <v>752800</v>
      </c>
      <c r="G1621" s="243">
        <v>752800</v>
      </c>
      <c r="H1621" s="243">
        <f t="shared" si="52"/>
        <v>100</v>
      </c>
      <c r="I1621" s="123" t="str">
        <f t="shared" si="51"/>
        <v>03100420010340111</v>
      </c>
    </row>
    <row r="1622" spans="1:9" ht="38.25">
      <c r="A1622" s="241" t="s">
        <v>1139</v>
      </c>
      <c r="B1622" s="242" t="s">
        <v>952</v>
      </c>
      <c r="C1622" s="242" t="s">
        <v>345</v>
      </c>
      <c r="D1622" s="242" t="s">
        <v>2231</v>
      </c>
      <c r="E1622" s="242" t="s">
        <v>1056</v>
      </c>
      <c r="F1622" s="243">
        <v>227346</v>
      </c>
      <c r="G1622" s="243">
        <v>227346</v>
      </c>
      <c r="H1622" s="243">
        <f t="shared" si="52"/>
        <v>100</v>
      </c>
      <c r="I1622" s="123" t="str">
        <f t="shared" si="51"/>
        <v>03100420010340119</v>
      </c>
    </row>
    <row r="1623" spans="1:9" ht="153">
      <c r="A1623" s="241" t="s">
        <v>2102</v>
      </c>
      <c r="B1623" s="242" t="s">
        <v>952</v>
      </c>
      <c r="C1623" s="242" t="s">
        <v>345</v>
      </c>
      <c r="D1623" s="242" t="s">
        <v>2103</v>
      </c>
      <c r="E1623" s="242"/>
      <c r="F1623" s="243">
        <v>716357.35</v>
      </c>
      <c r="G1623" s="243">
        <v>716357.35</v>
      </c>
      <c r="H1623" s="243">
        <f t="shared" si="52"/>
        <v>100</v>
      </c>
      <c r="I1623" s="123" t="str">
        <f t="shared" si="51"/>
        <v>03100420027241</v>
      </c>
    </row>
    <row r="1624" spans="1:9" ht="63.75">
      <c r="A1624" s="241" t="s">
        <v>1318</v>
      </c>
      <c r="B1624" s="242" t="s">
        <v>952</v>
      </c>
      <c r="C1624" s="242" t="s">
        <v>345</v>
      </c>
      <c r="D1624" s="242" t="s">
        <v>2103</v>
      </c>
      <c r="E1624" s="242" t="s">
        <v>273</v>
      </c>
      <c r="F1624" s="243">
        <v>716357.35</v>
      </c>
      <c r="G1624" s="243">
        <v>716357.35</v>
      </c>
      <c r="H1624" s="243">
        <f t="shared" si="52"/>
        <v>100</v>
      </c>
      <c r="I1624" s="123" t="str">
        <f t="shared" si="51"/>
        <v>03100420027241100</v>
      </c>
    </row>
    <row r="1625" spans="1:9">
      <c r="A1625" s="241" t="s">
        <v>1190</v>
      </c>
      <c r="B1625" s="242" t="s">
        <v>952</v>
      </c>
      <c r="C1625" s="242" t="s">
        <v>345</v>
      </c>
      <c r="D1625" s="242" t="s">
        <v>2103</v>
      </c>
      <c r="E1625" s="242" t="s">
        <v>133</v>
      </c>
      <c r="F1625" s="243">
        <v>716357.35</v>
      </c>
      <c r="G1625" s="243">
        <v>716357.35</v>
      </c>
      <c r="H1625" s="243">
        <f t="shared" si="52"/>
        <v>100</v>
      </c>
      <c r="I1625" s="123" t="str">
        <f t="shared" si="51"/>
        <v>03100420027241110</v>
      </c>
    </row>
    <row r="1626" spans="1:9">
      <c r="A1626" s="241" t="s">
        <v>1138</v>
      </c>
      <c r="B1626" s="242" t="s">
        <v>952</v>
      </c>
      <c r="C1626" s="242" t="s">
        <v>345</v>
      </c>
      <c r="D1626" s="242" t="s">
        <v>2103</v>
      </c>
      <c r="E1626" s="242" t="s">
        <v>342</v>
      </c>
      <c r="F1626" s="243">
        <v>550198</v>
      </c>
      <c r="G1626" s="243">
        <v>550198</v>
      </c>
      <c r="H1626" s="243">
        <f t="shared" si="52"/>
        <v>100</v>
      </c>
      <c r="I1626" s="123" t="str">
        <f t="shared" si="51"/>
        <v>03100420027241111</v>
      </c>
    </row>
    <row r="1627" spans="1:9" ht="38.25">
      <c r="A1627" s="241" t="s">
        <v>1139</v>
      </c>
      <c r="B1627" s="242" t="s">
        <v>952</v>
      </c>
      <c r="C1627" s="242" t="s">
        <v>345</v>
      </c>
      <c r="D1627" s="242" t="s">
        <v>2103</v>
      </c>
      <c r="E1627" s="242" t="s">
        <v>1056</v>
      </c>
      <c r="F1627" s="243">
        <v>166159.35</v>
      </c>
      <c r="G1627" s="243">
        <v>166159.35</v>
      </c>
      <c r="H1627" s="243">
        <f t="shared" si="52"/>
        <v>100</v>
      </c>
      <c r="I1627" s="123" t="str">
        <f t="shared" si="51"/>
        <v>03100420027241119</v>
      </c>
    </row>
    <row r="1628" spans="1:9" ht="102">
      <c r="A1628" s="241" t="s">
        <v>2104</v>
      </c>
      <c r="B1628" s="242" t="s">
        <v>952</v>
      </c>
      <c r="C1628" s="242" t="s">
        <v>345</v>
      </c>
      <c r="D1628" s="242" t="s">
        <v>2105</v>
      </c>
      <c r="E1628" s="242"/>
      <c r="F1628" s="243">
        <v>1310249</v>
      </c>
      <c r="G1628" s="243">
        <v>1310249</v>
      </c>
      <c r="H1628" s="243">
        <f t="shared" si="52"/>
        <v>100</v>
      </c>
      <c r="I1628" s="123" t="str">
        <f t="shared" si="51"/>
        <v>03100420027242</v>
      </c>
    </row>
    <row r="1629" spans="1:9" ht="63.75">
      <c r="A1629" s="241" t="s">
        <v>1318</v>
      </c>
      <c r="B1629" s="242" t="s">
        <v>952</v>
      </c>
      <c r="C1629" s="242" t="s">
        <v>345</v>
      </c>
      <c r="D1629" s="242" t="s">
        <v>2105</v>
      </c>
      <c r="E1629" s="242" t="s">
        <v>273</v>
      </c>
      <c r="F1629" s="243">
        <v>1310249</v>
      </c>
      <c r="G1629" s="243">
        <v>1310249</v>
      </c>
      <c r="H1629" s="243">
        <f t="shared" si="52"/>
        <v>100</v>
      </c>
      <c r="I1629" s="123" t="str">
        <f t="shared" si="51"/>
        <v>03100420027242100</v>
      </c>
    </row>
    <row r="1630" spans="1:9">
      <c r="A1630" s="241" t="s">
        <v>1190</v>
      </c>
      <c r="B1630" s="242" t="s">
        <v>952</v>
      </c>
      <c r="C1630" s="242" t="s">
        <v>345</v>
      </c>
      <c r="D1630" s="242" t="s">
        <v>2105</v>
      </c>
      <c r="E1630" s="242" t="s">
        <v>133</v>
      </c>
      <c r="F1630" s="243">
        <v>1310249</v>
      </c>
      <c r="G1630" s="243">
        <v>1310249</v>
      </c>
      <c r="H1630" s="243">
        <f t="shared" si="52"/>
        <v>100</v>
      </c>
      <c r="I1630" s="123" t="str">
        <f t="shared" si="51"/>
        <v>03100420027242110</v>
      </c>
    </row>
    <row r="1631" spans="1:9">
      <c r="A1631" s="241" t="s">
        <v>1138</v>
      </c>
      <c r="B1631" s="242" t="s">
        <v>952</v>
      </c>
      <c r="C1631" s="242" t="s">
        <v>345</v>
      </c>
      <c r="D1631" s="242" t="s">
        <v>2105</v>
      </c>
      <c r="E1631" s="242" t="s">
        <v>342</v>
      </c>
      <c r="F1631" s="243">
        <v>1006335.73</v>
      </c>
      <c r="G1631" s="243">
        <v>1006335.73</v>
      </c>
      <c r="H1631" s="243">
        <f t="shared" si="52"/>
        <v>100</v>
      </c>
      <c r="I1631" s="123" t="str">
        <f t="shared" si="51"/>
        <v>03100420027242111</v>
      </c>
    </row>
    <row r="1632" spans="1:9" ht="38.25">
      <c r="A1632" s="241" t="s">
        <v>1139</v>
      </c>
      <c r="B1632" s="242" t="s">
        <v>952</v>
      </c>
      <c r="C1632" s="242" t="s">
        <v>345</v>
      </c>
      <c r="D1632" s="242" t="s">
        <v>2105</v>
      </c>
      <c r="E1632" s="242" t="s">
        <v>1056</v>
      </c>
      <c r="F1632" s="243">
        <v>303913.27</v>
      </c>
      <c r="G1632" s="243">
        <v>303913.27</v>
      </c>
      <c r="H1632" s="243">
        <f t="shared" si="52"/>
        <v>100</v>
      </c>
      <c r="I1632" s="123" t="str">
        <f t="shared" si="51"/>
        <v>03100420027242119</v>
      </c>
    </row>
    <row r="1633" spans="1:9" ht="114.75">
      <c r="A1633" s="241" t="s">
        <v>346</v>
      </c>
      <c r="B1633" s="242" t="s">
        <v>952</v>
      </c>
      <c r="C1633" s="242" t="s">
        <v>345</v>
      </c>
      <c r="D1633" s="242" t="s">
        <v>658</v>
      </c>
      <c r="E1633" s="242"/>
      <c r="F1633" s="243">
        <v>22501186.920000002</v>
      </c>
      <c r="G1633" s="243">
        <v>22194160.859999999</v>
      </c>
      <c r="H1633" s="243">
        <f t="shared" si="52"/>
        <v>98.635511712819451</v>
      </c>
      <c r="I1633" s="123" t="str">
        <f t="shared" si="51"/>
        <v>03100420040010</v>
      </c>
    </row>
    <row r="1634" spans="1:9" ht="63.75">
      <c r="A1634" s="241" t="s">
        <v>1318</v>
      </c>
      <c r="B1634" s="242" t="s">
        <v>952</v>
      </c>
      <c r="C1634" s="242" t="s">
        <v>345</v>
      </c>
      <c r="D1634" s="242" t="s">
        <v>658</v>
      </c>
      <c r="E1634" s="242" t="s">
        <v>273</v>
      </c>
      <c r="F1634" s="243">
        <v>20319966</v>
      </c>
      <c r="G1634" s="243">
        <v>20063062.890000001</v>
      </c>
      <c r="H1634" s="243">
        <f t="shared" si="52"/>
        <v>98.735710925894267</v>
      </c>
      <c r="I1634" s="123" t="str">
        <f t="shared" si="51"/>
        <v>03100420040010100</v>
      </c>
    </row>
    <row r="1635" spans="1:9">
      <c r="A1635" s="241" t="s">
        <v>1190</v>
      </c>
      <c r="B1635" s="242" t="s">
        <v>952</v>
      </c>
      <c r="C1635" s="242" t="s">
        <v>345</v>
      </c>
      <c r="D1635" s="242" t="s">
        <v>658</v>
      </c>
      <c r="E1635" s="242" t="s">
        <v>133</v>
      </c>
      <c r="F1635" s="243">
        <v>20319966</v>
      </c>
      <c r="G1635" s="243">
        <v>20063062.890000001</v>
      </c>
      <c r="H1635" s="243">
        <f t="shared" si="52"/>
        <v>98.735710925894267</v>
      </c>
      <c r="I1635" s="123" t="str">
        <f t="shared" si="51"/>
        <v>03100420040010110</v>
      </c>
    </row>
    <row r="1636" spans="1:9">
      <c r="A1636" s="241" t="s">
        <v>1138</v>
      </c>
      <c r="B1636" s="242" t="s">
        <v>952</v>
      </c>
      <c r="C1636" s="242" t="s">
        <v>345</v>
      </c>
      <c r="D1636" s="242" t="s">
        <v>658</v>
      </c>
      <c r="E1636" s="242" t="s">
        <v>342</v>
      </c>
      <c r="F1636" s="243">
        <v>15451507</v>
      </c>
      <c r="G1636" s="243">
        <v>15387801.6</v>
      </c>
      <c r="H1636" s="243">
        <f t="shared" si="52"/>
        <v>99.587707529110276</v>
      </c>
      <c r="I1636" s="123" t="str">
        <f t="shared" ref="I1636:I1699" si="53">CONCATENATE(C1636,D1636,E1636)</f>
        <v>03100420040010111</v>
      </c>
    </row>
    <row r="1637" spans="1:9" ht="25.5">
      <c r="A1637" s="241" t="s">
        <v>1147</v>
      </c>
      <c r="B1637" s="242" t="s">
        <v>952</v>
      </c>
      <c r="C1637" s="242" t="s">
        <v>345</v>
      </c>
      <c r="D1637" s="242" t="s">
        <v>658</v>
      </c>
      <c r="E1637" s="242" t="s">
        <v>391</v>
      </c>
      <c r="F1637" s="243">
        <v>34625</v>
      </c>
      <c r="G1637" s="243">
        <v>34625</v>
      </c>
      <c r="H1637" s="243">
        <f t="shared" si="52"/>
        <v>100</v>
      </c>
      <c r="I1637" s="123" t="str">
        <f t="shared" si="53"/>
        <v>03100420040010112</v>
      </c>
    </row>
    <row r="1638" spans="1:9" ht="38.25">
      <c r="A1638" s="241" t="s">
        <v>1139</v>
      </c>
      <c r="B1638" s="242" t="s">
        <v>952</v>
      </c>
      <c r="C1638" s="242" t="s">
        <v>345</v>
      </c>
      <c r="D1638" s="242" t="s">
        <v>658</v>
      </c>
      <c r="E1638" s="242" t="s">
        <v>1056</v>
      </c>
      <c r="F1638" s="243">
        <v>4833834</v>
      </c>
      <c r="G1638" s="243">
        <v>4640636.29</v>
      </c>
      <c r="H1638" s="243">
        <f t="shared" si="52"/>
        <v>96.003220011278827</v>
      </c>
      <c r="I1638" s="123" t="str">
        <f t="shared" si="53"/>
        <v>03100420040010119</v>
      </c>
    </row>
    <row r="1639" spans="1:9" ht="25.5">
      <c r="A1639" s="241" t="s">
        <v>1319</v>
      </c>
      <c r="B1639" s="242" t="s">
        <v>952</v>
      </c>
      <c r="C1639" s="242" t="s">
        <v>345</v>
      </c>
      <c r="D1639" s="242" t="s">
        <v>658</v>
      </c>
      <c r="E1639" s="242" t="s">
        <v>1320</v>
      </c>
      <c r="F1639" s="243">
        <v>2174932.86</v>
      </c>
      <c r="G1639" s="243">
        <v>2124809.91</v>
      </c>
      <c r="H1639" s="243">
        <f t="shared" si="52"/>
        <v>97.695425411890653</v>
      </c>
      <c r="I1639" s="123" t="str">
        <f t="shared" si="53"/>
        <v>03100420040010200</v>
      </c>
    </row>
    <row r="1640" spans="1:9" ht="25.5">
      <c r="A1640" s="241" t="s">
        <v>1196</v>
      </c>
      <c r="B1640" s="242" t="s">
        <v>952</v>
      </c>
      <c r="C1640" s="242" t="s">
        <v>345</v>
      </c>
      <c r="D1640" s="242" t="s">
        <v>658</v>
      </c>
      <c r="E1640" s="242" t="s">
        <v>1197</v>
      </c>
      <c r="F1640" s="243">
        <v>2174932.86</v>
      </c>
      <c r="G1640" s="243">
        <v>2124809.91</v>
      </c>
      <c r="H1640" s="243">
        <f t="shared" si="52"/>
        <v>97.695425411890653</v>
      </c>
      <c r="I1640" s="123" t="str">
        <f t="shared" si="53"/>
        <v>03100420040010240</v>
      </c>
    </row>
    <row r="1641" spans="1:9">
      <c r="A1641" s="241" t="s">
        <v>1223</v>
      </c>
      <c r="B1641" s="242" t="s">
        <v>952</v>
      </c>
      <c r="C1641" s="242" t="s">
        <v>345</v>
      </c>
      <c r="D1641" s="242" t="s">
        <v>658</v>
      </c>
      <c r="E1641" s="242" t="s">
        <v>329</v>
      </c>
      <c r="F1641" s="243">
        <v>2174932.86</v>
      </c>
      <c r="G1641" s="243">
        <v>2124809.91</v>
      </c>
      <c r="H1641" s="243">
        <f t="shared" si="52"/>
        <v>97.695425411890653</v>
      </c>
      <c r="I1641" s="123" t="str">
        <f t="shared" si="53"/>
        <v>03100420040010244</v>
      </c>
    </row>
    <row r="1642" spans="1:9">
      <c r="A1642" s="241" t="s">
        <v>1321</v>
      </c>
      <c r="B1642" s="242" t="s">
        <v>952</v>
      </c>
      <c r="C1642" s="242" t="s">
        <v>345</v>
      </c>
      <c r="D1642" s="242" t="s">
        <v>658</v>
      </c>
      <c r="E1642" s="242" t="s">
        <v>1322</v>
      </c>
      <c r="F1642" s="243">
        <v>6288.06</v>
      </c>
      <c r="G1642" s="243">
        <v>6288.06</v>
      </c>
      <c r="H1642" s="243">
        <f t="shared" si="52"/>
        <v>100</v>
      </c>
      <c r="I1642" s="123" t="str">
        <f t="shared" si="53"/>
        <v>03100420040010800</v>
      </c>
    </row>
    <row r="1643" spans="1:9">
      <c r="A1643" s="241" t="s">
        <v>1201</v>
      </c>
      <c r="B1643" s="242" t="s">
        <v>952</v>
      </c>
      <c r="C1643" s="242" t="s">
        <v>345</v>
      </c>
      <c r="D1643" s="242" t="s">
        <v>658</v>
      </c>
      <c r="E1643" s="242" t="s">
        <v>1202</v>
      </c>
      <c r="F1643" s="243">
        <v>6288.06</v>
      </c>
      <c r="G1643" s="243">
        <v>6288.06</v>
      </c>
      <c r="H1643" s="243">
        <f t="shared" si="52"/>
        <v>100</v>
      </c>
      <c r="I1643" s="123" t="str">
        <f t="shared" si="53"/>
        <v>03100420040010850</v>
      </c>
    </row>
    <row r="1644" spans="1:9">
      <c r="A1644" s="241" t="s">
        <v>1057</v>
      </c>
      <c r="B1644" s="242" t="s">
        <v>952</v>
      </c>
      <c r="C1644" s="242" t="s">
        <v>345</v>
      </c>
      <c r="D1644" s="242" t="s">
        <v>658</v>
      </c>
      <c r="E1644" s="242" t="s">
        <v>1058</v>
      </c>
      <c r="F1644" s="243">
        <v>6288.06</v>
      </c>
      <c r="G1644" s="243">
        <v>6288.06</v>
      </c>
      <c r="H1644" s="243">
        <f t="shared" si="52"/>
        <v>100</v>
      </c>
      <c r="I1644" s="123" t="str">
        <f t="shared" si="53"/>
        <v>03100420040010853</v>
      </c>
    </row>
    <row r="1645" spans="1:9" ht="114.75">
      <c r="A1645" s="241" t="s">
        <v>1363</v>
      </c>
      <c r="B1645" s="242" t="s">
        <v>952</v>
      </c>
      <c r="C1645" s="242" t="s">
        <v>345</v>
      </c>
      <c r="D1645" s="242" t="s">
        <v>1364</v>
      </c>
      <c r="E1645" s="242"/>
      <c r="F1645" s="243">
        <v>1708639.63</v>
      </c>
      <c r="G1645" s="243">
        <v>1707609.56</v>
      </c>
      <c r="H1645" s="243">
        <f t="shared" si="52"/>
        <v>99.939714028522218</v>
      </c>
      <c r="I1645" s="123" t="str">
        <f t="shared" si="53"/>
        <v>03100420041010</v>
      </c>
    </row>
    <row r="1646" spans="1:9" ht="63.75">
      <c r="A1646" s="241" t="s">
        <v>1318</v>
      </c>
      <c r="B1646" s="242" t="s">
        <v>952</v>
      </c>
      <c r="C1646" s="242" t="s">
        <v>345</v>
      </c>
      <c r="D1646" s="242" t="s">
        <v>1364</v>
      </c>
      <c r="E1646" s="242" t="s">
        <v>273</v>
      </c>
      <c r="F1646" s="243">
        <v>1708639.63</v>
      </c>
      <c r="G1646" s="243">
        <v>1707609.56</v>
      </c>
      <c r="H1646" s="243">
        <f t="shared" si="52"/>
        <v>99.939714028522218</v>
      </c>
      <c r="I1646" s="123" t="str">
        <f t="shared" si="53"/>
        <v>03100420041010100</v>
      </c>
    </row>
    <row r="1647" spans="1:9">
      <c r="A1647" s="241" t="s">
        <v>1190</v>
      </c>
      <c r="B1647" s="242" t="s">
        <v>952</v>
      </c>
      <c r="C1647" s="242" t="s">
        <v>345</v>
      </c>
      <c r="D1647" s="242" t="s">
        <v>1364</v>
      </c>
      <c r="E1647" s="242" t="s">
        <v>133</v>
      </c>
      <c r="F1647" s="243">
        <v>1708639.63</v>
      </c>
      <c r="G1647" s="243">
        <v>1707609.56</v>
      </c>
      <c r="H1647" s="243">
        <f t="shared" si="52"/>
        <v>99.939714028522218</v>
      </c>
      <c r="I1647" s="123" t="str">
        <f t="shared" si="53"/>
        <v>03100420041010110</v>
      </c>
    </row>
    <row r="1648" spans="1:9">
      <c r="A1648" s="241" t="s">
        <v>1138</v>
      </c>
      <c r="B1648" s="242" t="s">
        <v>952</v>
      </c>
      <c r="C1648" s="242" t="s">
        <v>345</v>
      </c>
      <c r="D1648" s="242" t="s">
        <v>1364</v>
      </c>
      <c r="E1648" s="242" t="s">
        <v>342</v>
      </c>
      <c r="F1648" s="243">
        <v>1315840.18</v>
      </c>
      <c r="G1648" s="243">
        <v>1314810.1100000001</v>
      </c>
      <c r="H1648" s="243">
        <f t="shared" si="52"/>
        <v>99.921717696749482</v>
      </c>
      <c r="I1648" s="123" t="str">
        <f t="shared" si="53"/>
        <v>03100420041010111</v>
      </c>
    </row>
    <row r="1649" spans="1:9" ht="38.25">
      <c r="A1649" s="241" t="s">
        <v>1139</v>
      </c>
      <c r="B1649" s="242" t="s">
        <v>952</v>
      </c>
      <c r="C1649" s="242" t="s">
        <v>345</v>
      </c>
      <c r="D1649" s="242" t="s">
        <v>1364</v>
      </c>
      <c r="E1649" s="242" t="s">
        <v>1056</v>
      </c>
      <c r="F1649" s="243">
        <v>392799.45</v>
      </c>
      <c r="G1649" s="243">
        <v>392799.45</v>
      </c>
      <c r="H1649" s="243">
        <f t="shared" si="52"/>
        <v>100</v>
      </c>
      <c r="I1649" s="123" t="str">
        <f t="shared" si="53"/>
        <v>03100420041010119</v>
      </c>
    </row>
    <row r="1650" spans="1:9" ht="114.75">
      <c r="A1650" s="241" t="s">
        <v>1365</v>
      </c>
      <c r="B1650" s="242" t="s">
        <v>952</v>
      </c>
      <c r="C1650" s="242" t="s">
        <v>345</v>
      </c>
      <c r="D1650" s="242" t="s">
        <v>1366</v>
      </c>
      <c r="E1650" s="242"/>
      <c r="F1650" s="243">
        <v>134013.79999999999</v>
      </c>
      <c r="G1650" s="243">
        <v>134013.79999999999</v>
      </c>
      <c r="H1650" s="243">
        <f t="shared" si="52"/>
        <v>100</v>
      </c>
      <c r="I1650" s="123" t="str">
        <f t="shared" si="53"/>
        <v>03100420047010</v>
      </c>
    </row>
    <row r="1651" spans="1:9" ht="63.75">
      <c r="A1651" s="241" t="s">
        <v>1318</v>
      </c>
      <c r="B1651" s="242" t="s">
        <v>952</v>
      </c>
      <c r="C1651" s="242" t="s">
        <v>345</v>
      </c>
      <c r="D1651" s="242" t="s">
        <v>1366</v>
      </c>
      <c r="E1651" s="242" t="s">
        <v>273</v>
      </c>
      <c r="F1651" s="243">
        <v>134013.79999999999</v>
      </c>
      <c r="G1651" s="243">
        <v>134013.79999999999</v>
      </c>
      <c r="H1651" s="243">
        <f t="shared" si="52"/>
        <v>100</v>
      </c>
      <c r="I1651" s="123" t="str">
        <f t="shared" si="53"/>
        <v>03100420047010100</v>
      </c>
    </row>
    <row r="1652" spans="1:9">
      <c r="A1652" s="241" t="s">
        <v>1190</v>
      </c>
      <c r="B1652" s="242" t="s">
        <v>952</v>
      </c>
      <c r="C1652" s="242" t="s">
        <v>345</v>
      </c>
      <c r="D1652" s="242" t="s">
        <v>1366</v>
      </c>
      <c r="E1652" s="242" t="s">
        <v>133</v>
      </c>
      <c r="F1652" s="243">
        <v>134013.79999999999</v>
      </c>
      <c r="G1652" s="243">
        <v>134013.79999999999</v>
      </c>
      <c r="H1652" s="243">
        <f t="shared" si="52"/>
        <v>100</v>
      </c>
      <c r="I1652" s="123" t="str">
        <f t="shared" si="53"/>
        <v>03100420047010110</v>
      </c>
    </row>
    <row r="1653" spans="1:9" ht="25.5">
      <c r="A1653" s="241" t="s">
        <v>1147</v>
      </c>
      <c r="B1653" s="242" t="s">
        <v>952</v>
      </c>
      <c r="C1653" s="242" t="s">
        <v>345</v>
      </c>
      <c r="D1653" s="242" t="s">
        <v>1366</v>
      </c>
      <c r="E1653" s="242" t="s">
        <v>391</v>
      </c>
      <c r="F1653" s="243">
        <v>134013.79999999999</v>
      </c>
      <c r="G1653" s="243">
        <v>134013.79999999999</v>
      </c>
      <c r="H1653" s="243">
        <f t="shared" si="52"/>
        <v>100</v>
      </c>
      <c r="I1653" s="123" t="str">
        <f t="shared" si="53"/>
        <v>03100420047010112</v>
      </c>
    </row>
    <row r="1654" spans="1:9" ht="127.5">
      <c r="A1654" s="241" t="s">
        <v>1748</v>
      </c>
      <c r="B1654" s="242" t="s">
        <v>952</v>
      </c>
      <c r="C1654" s="242" t="s">
        <v>345</v>
      </c>
      <c r="D1654" s="242" t="s">
        <v>660</v>
      </c>
      <c r="E1654" s="242"/>
      <c r="F1654" s="243">
        <v>2143295.63</v>
      </c>
      <c r="G1654" s="243">
        <v>2017903.65</v>
      </c>
      <c r="H1654" s="243">
        <f t="shared" si="52"/>
        <v>94.149571424264977</v>
      </c>
      <c r="I1654" s="123" t="str">
        <f t="shared" si="53"/>
        <v>0310042004Г010</v>
      </c>
    </row>
    <row r="1655" spans="1:9" ht="25.5">
      <c r="A1655" s="241" t="s">
        <v>1319</v>
      </c>
      <c r="B1655" s="242" t="s">
        <v>952</v>
      </c>
      <c r="C1655" s="242" t="s">
        <v>345</v>
      </c>
      <c r="D1655" s="242" t="s">
        <v>660</v>
      </c>
      <c r="E1655" s="242" t="s">
        <v>1320</v>
      </c>
      <c r="F1655" s="243">
        <v>2143295.63</v>
      </c>
      <c r="G1655" s="243">
        <v>2017903.65</v>
      </c>
      <c r="H1655" s="243">
        <f t="shared" si="52"/>
        <v>94.149571424264977</v>
      </c>
      <c r="I1655" s="123" t="str">
        <f t="shared" si="53"/>
        <v>0310042004Г010200</v>
      </c>
    </row>
    <row r="1656" spans="1:9" ht="25.5">
      <c r="A1656" s="241" t="s">
        <v>1196</v>
      </c>
      <c r="B1656" s="242" t="s">
        <v>952</v>
      </c>
      <c r="C1656" s="242" t="s">
        <v>345</v>
      </c>
      <c r="D1656" s="242" t="s">
        <v>660</v>
      </c>
      <c r="E1656" s="242" t="s">
        <v>1197</v>
      </c>
      <c r="F1656" s="243">
        <v>2143295.63</v>
      </c>
      <c r="G1656" s="243">
        <v>2017903.65</v>
      </c>
      <c r="H1656" s="243">
        <f t="shared" si="52"/>
        <v>94.149571424264977</v>
      </c>
      <c r="I1656" s="123" t="str">
        <f t="shared" si="53"/>
        <v>0310042004Г010240</v>
      </c>
    </row>
    <row r="1657" spans="1:9">
      <c r="A1657" s="241" t="s">
        <v>1223</v>
      </c>
      <c r="B1657" s="242" t="s">
        <v>952</v>
      </c>
      <c r="C1657" s="242" t="s">
        <v>345</v>
      </c>
      <c r="D1657" s="242" t="s">
        <v>660</v>
      </c>
      <c r="E1657" s="242" t="s">
        <v>329</v>
      </c>
      <c r="F1657" s="243">
        <v>7570.38</v>
      </c>
      <c r="G1657" s="243">
        <v>5530.25</v>
      </c>
      <c r="H1657" s="243">
        <f t="shared" si="52"/>
        <v>73.051154631603694</v>
      </c>
      <c r="I1657" s="123" t="str">
        <f t="shared" si="53"/>
        <v>0310042004Г010244</v>
      </c>
    </row>
    <row r="1658" spans="1:9">
      <c r="A1658" s="241" t="s">
        <v>1699</v>
      </c>
      <c r="B1658" s="242" t="s">
        <v>952</v>
      </c>
      <c r="C1658" s="242" t="s">
        <v>345</v>
      </c>
      <c r="D1658" s="242" t="s">
        <v>660</v>
      </c>
      <c r="E1658" s="242" t="s">
        <v>1700</v>
      </c>
      <c r="F1658" s="243">
        <v>2135725.25</v>
      </c>
      <c r="G1658" s="243">
        <v>2012373.4</v>
      </c>
      <c r="H1658" s="243">
        <f t="shared" si="52"/>
        <v>94.224357744517931</v>
      </c>
      <c r="I1658" s="123" t="str">
        <f t="shared" si="53"/>
        <v>0310042004Г010247</v>
      </c>
    </row>
    <row r="1659" spans="1:9" ht="127.5">
      <c r="A1659" s="241" t="s">
        <v>1828</v>
      </c>
      <c r="B1659" s="242" t="s">
        <v>952</v>
      </c>
      <c r="C1659" s="242" t="s">
        <v>345</v>
      </c>
      <c r="D1659" s="242" t="s">
        <v>1829</v>
      </c>
      <c r="E1659" s="242"/>
      <c r="F1659" s="243">
        <v>32851.199999999997</v>
      </c>
      <c r="G1659" s="243">
        <v>32851.1</v>
      </c>
      <c r="H1659" s="243">
        <f t="shared" si="52"/>
        <v>99.999695597116698</v>
      </c>
      <c r="I1659" s="123" t="str">
        <f t="shared" si="53"/>
        <v>0310042004М010</v>
      </c>
    </row>
    <row r="1660" spans="1:9" ht="25.5">
      <c r="A1660" s="241" t="s">
        <v>1319</v>
      </c>
      <c r="B1660" s="242" t="s">
        <v>952</v>
      </c>
      <c r="C1660" s="242" t="s">
        <v>345</v>
      </c>
      <c r="D1660" s="242" t="s">
        <v>1829</v>
      </c>
      <c r="E1660" s="242" t="s">
        <v>1320</v>
      </c>
      <c r="F1660" s="243">
        <v>32851.199999999997</v>
      </c>
      <c r="G1660" s="243">
        <v>32851.1</v>
      </c>
      <c r="H1660" s="243">
        <f t="shared" si="52"/>
        <v>99.999695597116698</v>
      </c>
      <c r="I1660" s="123" t="str">
        <f t="shared" si="53"/>
        <v>0310042004М010200</v>
      </c>
    </row>
    <row r="1661" spans="1:9" ht="25.5">
      <c r="A1661" s="241" t="s">
        <v>1196</v>
      </c>
      <c r="B1661" s="242" t="s">
        <v>952</v>
      </c>
      <c r="C1661" s="242" t="s">
        <v>345</v>
      </c>
      <c r="D1661" s="242" t="s">
        <v>1829</v>
      </c>
      <c r="E1661" s="242" t="s">
        <v>1197</v>
      </c>
      <c r="F1661" s="243">
        <v>32851.199999999997</v>
      </c>
      <c r="G1661" s="243">
        <v>32851.1</v>
      </c>
      <c r="H1661" s="243">
        <f t="shared" si="52"/>
        <v>99.999695597116698</v>
      </c>
      <c r="I1661" s="123" t="str">
        <f t="shared" si="53"/>
        <v>0310042004М010240</v>
      </c>
    </row>
    <row r="1662" spans="1:9">
      <c r="A1662" s="241" t="s">
        <v>1223</v>
      </c>
      <c r="B1662" s="242" t="s">
        <v>952</v>
      </c>
      <c r="C1662" s="242" t="s">
        <v>345</v>
      </c>
      <c r="D1662" s="242" t="s">
        <v>1829</v>
      </c>
      <c r="E1662" s="242" t="s">
        <v>329</v>
      </c>
      <c r="F1662" s="243">
        <v>32851.199999999997</v>
      </c>
      <c r="G1662" s="243">
        <v>32851.1</v>
      </c>
      <c r="H1662" s="243">
        <f t="shared" si="52"/>
        <v>99.999695597116698</v>
      </c>
      <c r="I1662" s="123" t="str">
        <f t="shared" si="53"/>
        <v>0310042004М010244</v>
      </c>
    </row>
    <row r="1663" spans="1:9" ht="89.25">
      <c r="A1663" s="241" t="s">
        <v>1830</v>
      </c>
      <c r="B1663" s="242" t="s">
        <v>952</v>
      </c>
      <c r="C1663" s="242" t="s">
        <v>345</v>
      </c>
      <c r="D1663" s="242" t="s">
        <v>1831</v>
      </c>
      <c r="E1663" s="242"/>
      <c r="F1663" s="243">
        <v>234512.9</v>
      </c>
      <c r="G1663" s="243">
        <v>234512.9</v>
      </c>
      <c r="H1663" s="243">
        <f t="shared" si="52"/>
        <v>100</v>
      </c>
      <c r="I1663" s="123" t="str">
        <f t="shared" si="53"/>
        <v>0310042004Ф010</v>
      </c>
    </row>
    <row r="1664" spans="1:9" ht="25.5">
      <c r="A1664" s="241" t="s">
        <v>1319</v>
      </c>
      <c r="B1664" s="242" t="s">
        <v>952</v>
      </c>
      <c r="C1664" s="242" t="s">
        <v>345</v>
      </c>
      <c r="D1664" s="242" t="s">
        <v>1831</v>
      </c>
      <c r="E1664" s="242" t="s">
        <v>1320</v>
      </c>
      <c r="F1664" s="243">
        <v>234512.9</v>
      </c>
      <c r="G1664" s="243">
        <v>234512.9</v>
      </c>
      <c r="H1664" s="243">
        <f t="shared" si="52"/>
        <v>100</v>
      </c>
      <c r="I1664" s="123" t="str">
        <f t="shared" si="53"/>
        <v>0310042004Ф010200</v>
      </c>
    </row>
    <row r="1665" spans="1:9" ht="25.5">
      <c r="A1665" s="241" t="s">
        <v>1196</v>
      </c>
      <c r="B1665" s="242" t="s">
        <v>952</v>
      </c>
      <c r="C1665" s="242" t="s">
        <v>345</v>
      </c>
      <c r="D1665" s="242" t="s">
        <v>1831</v>
      </c>
      <c r="E1665" s="242" t="s">
        <v>1197</v>
      </c>
      <c r="F1665" s="243">
        <v>234512.9</v>
      </c>
      <c r="G1665" s="243">
        <v>234512.9</v>
      </c>
      <c r="H1665" s="243">
        <f t="shared" si="52"/>
        <v>100</v>
      </c>
      <c r="I1665" s="123" t="str">
        <f t="shared" si="53"/>
        <v>0310042004Ф010240</v>
      </c>
    </row>
    <row r="1666" spans="1:9">
      <c r="A1666" s="241" t="s">
        <v>1223</v>
      </c>
      <c r="B1666" s="242" t="s">
        <v>952</v>
      </c>
      <c r="C1666" s="242" t="s">
        <v>345</v>
      </c>
      <c r="D1666" s="242" t="s">
        <v>1831</v>
      </c>
      <c r="E1666" s="242" t="s">
        <v>329</v>
      </c>
      <c r="F1666" s="243">
        <v>234512.9</v>
      </c>
      <c r="G1666" s="243">
        <v>234512.9</v>
      </c>
      <c r="H1666" s="243">
        <f t="shared" si="52"/>
        <v>100</v>
      </c>
      <c r="I1666" s="123" t="str">
        <f t="shared" si="53"/>
        <v>0310042004Ф010244</v>
      </c>
    </row>
    <row r="1667" spans="1:9" ht="114.75">
      <c r="A1667" s="241" t="s">
        <v>1367</v>
      </c>
      <c r="B1667" s="242" t="s">
        <v>952</v>
      </c>
      <c r="C1667" s="242" t="s">
        <v>345</v>
      </c>
      <c r="D1667" s="242" t="s">
        <v>1368</v>
      </c>
      <c r="E1667" s="242"/>
      <c r="F1667" s="243">
        <v>580324.87</v>
      </c>
      <c r="G1667" s="243">
        <v>452074.54</v>
      </c>
      <c r="H1667" s="243">
        <f t="shared" ref="H1667:H1730" si="54">G1667/F1667*100</f>
        <v>77.900252663650278</v>
      </c>
      <c r="I1667" s="123" t="str">
        <f t="shared" si="53"/>
        <v>0310042004Э010</v>
      </c>
    </row>
    <row r="1668" spans="1:9" ht="25.5">
      <c r="A1668" s="241" t="s">
        <v>1319</v>
      </c>
      <c r="B1668" s="242" t="s">
        <v>952</v>
      </c>
      <c r="C1668" s="242" t="s">
        <v>345</v>
      </c>
      <c r="D1668" s="242" t="s">
        <v>1368</v>
      </c>
      <c r="E1668" s="242" t="s">
        <v>1320</v>
      </c>
      <c r="F1668" s="243">
        <v>580324.87</v>
      </c>
      <c r="G1668" s="243">
        <v>452074.54</v>
      </c>
      <c r="H1668" s="243">
        <f t="shared" si="54"/>
        <v>77.900252663650278</v>
      </c>
      <c r="I1668" s="123" t="str">
        <f t="shared" si="53"/>
        <v>0310042004Э010200</v>
      </c>
    </row>
    <row r="1669" spans="1:9" ht="25.5">
      <c r="A1669" s="241" t="s">
        <v>1196</v>
      </c>
      <c r="B1669" s="242" t="s">
        <v>952</v>
      </c>
      <c r="C1669" s="242" t="s">
        <v>345</v>
      </c>
      <c r="D1669" s="242" t="s">
        <v>1368</v>
      </c>
      <c r="E1669" s="242" t="s">
        <v>1197</v>
      </c>
      <c r="F1669" s="243">
        <v>580324.87</v>
      </c>
      <c r="G1669" s="243">
        <v>452074.54</v>
      </c>
      <c r="H1669" s="243">
        <f t="shared" si="54"/>
        <v>77.900252663650278</v>
      </c>
      <c r="I1669" s="123" t="str">
        <f t="shared" si="53"/>
        <v>0310042004Э010240</v>
      </c>
    </row>
    <row r="1670" spans="1:9">
      <c r="A1670" s="241" t="s">
        <v>1699</v>
      </c>
      <c r="B1670" s="242" t="s">
        <v>952</v>
      </c>
      <c r="C1670" s="242" t="s">
        <v>345</v>
      </c>
      <c r="D1670" s="242" t="s">
        <v>1368</v>
      </c>
      <c r="E1670" s="242" t="s">
        <v>1700</v>
      </c>
      <c r="F1670" s="243">
        <v>580324.87</v>
      </c>
      <c r="G1670" s="243">
        <v>452074.54</v>
      </c>
      <c r="H1670" s="243">
        <f t="shared" si="54"/>
        <v>77.900252663650278</v>
      </c>
      <c r="I1670" s="123" t="str">
        <f t="shared" si="53"/>
        <v>0310042004Э010247</v>
      </c>
    </row>
    <row r="1671" spans="1:9">
      <c r="A1671" s="241" t="s">
        <v>239</v>
      </c>
      <c r="B1671" s="242" t="s">
        <v>952</v>
      </c>
      <c r="C1671" s="242" t="s">
        <v>1141</v>
      </c>
      <c r="D1671" s="242"/>
      <c r="E1671" s="242"/>
      <c r="F1671" s="243">
        <v>2689591.63</v>
      </c>
      <c r="G1671" s="243">
        <v>2689591.63</v>
      </c>
      <c r="H1671" s="243">
        <f t="shared" si="54"/>
        <v>100</v>
      </c>
      <c r="I1671" s="123" t="str">
        <f t="shared" si="53"/>
        <v>0500</v>
      </c>
    </row>
    <row r="1672" spans="1:9">
      <c r="A1672" s="241" t="s">
        <v>146</v>
      </c>
      <c r="B1672" s="242" t="s">
        <v>952</v>
      </c>
      <c r="C1672" s="242" t="s">
        <v>364</v>
      </c>
      <c r="D1672" s="242"/>
      <c r="E1672" s="242"/>
      <c r="F1672" s="243">
        <v>2689591.63</v>
      </c>
      <c r="G1672" s="243">
        <v>2689591.63</v>
      </c>
      <c r="H1672" s="243">
        <f t="shared" si="54"/>
        <v>100</v>
      </c>
      <c r="I1672" s="123" t="str">
        <f t="shared" si="53"/>
        <v>0502</v>
      </c>
    </row>
    <row r="1673" spans="1:9" ht="38.25">
      <c r="A1673" s="241" t="s">
        <v>452</v>
      </c>
      <c r="B1673" s="242" t="s">
        <v>952</v>
      </c>
      <c r="C1673" s="242" t="s">
        <v>364</v>
      </c>
      <c r="D1673" s="242" t="s">
        <v>974</v>
      </c>
      <c r="E1673" s="242"/>
      <c r="F1673" s="243">
        <v>2689591.63</v>
      </c>
      <c r="G1673" s="243">
        <v>2689591.63</v>
      </c>
      <c r="H1673" s="243">
        <f t="shared" si="54"/>
        <v>100</v>
      </c>
      <c r="I1673" s="123" t="str">
        <f t="shared" si="53"/>
        <v>05020300000000</v>
      </c>
    </row>
    <row r="1674" spans="1:9" ht="38.25">
      <c r="A1674" s="241" t="s">
        <v>591</v>
      </c>
      <c r="B1674" s="242" t="s">
        <v>952</v>
      </c>
      <c r="C1674" s="242" t="s">
        <v>364</v>
      </c>
      <c r="D1674" s="242" t="s">
        <v>975</v>
      </c>
      <c r="E1674" s="242"/>
      <c r="F1674" s="243">
        <v>2689591.63</v>
      </c>
      <c r="G1674" s="243">
        <v>2689591.63</v>
      </c>
      <c r="H1674" s="243">
        <f t="shared" si="54"/>
        <v>100</v>
      </c>
      <c r="I1674" s="123" t="str">
        <f t="shared" si="53"/>
        <v>05020320000000</v>
      </c>
    </row>
    <row r="1675" spans="1:9" ht="165.75">
      <c r="A1675" s="241" t="s">
        <v>2106</v>
      </c>
      <c r="B1675" s="242" t="s">
        <v>952</v>
      </c>
      <c r="C1675" s="242" t="s">
        <v>364</v>
      </c>
      <c r="D1675" s="242" t="s">
        <v>2107</v>
      </c>
      <c r="E1675" s="242"/>
      <c r="F1675" s="243">
        <v>163442.65</v>
      </c>
      <c r="G1675" s="243">
        <v>163442.65</v>
      </c>
      <c r="H1675" s="243">
        <f t="shared" si="54"/>
        <v>100</v>
      </c>
      <c r="I1675" s="123" t="str">
        <f t="shared" si="53"/>
        <v>05020320027241</v>
      </c>
    </row>
    <row r="1676" spans="1:9" ht="63.75">
      <c r="A1676" s="241" t="s">
        <v>1318</v>
      </c>
      <c r="B1676" s="242" t="s">
        <v>952</v>
      </c>
      <c r="C1676" s="242" t="s">
        <v>364</v>
      </c>
      <c r="D1676" s="242" t="s">
        <v>2107</v>
      </c>
      <c r="E1676" s="242" t="s">
        <v>273</v>
      </c>
      <c r="F1676" s="243">
        <v>163442.65</v>
      </c>
      <c r="G1676" s="243">
        <v>163442.65</v>
      </c>
      <c r="H1676" s="243">
        <f t="shared" si="54"/>
        <v>100</v>
      </c>
      <c r="I1676" s="123" t="str">
        <f t="shared" si="53"/>
        <v>05020320027241100</v>
      </c>
    </row>
    <row r="1677" spans="1:9">
      <c r="A1677" s="241" t="s">
        <v>1190</v>
      </c>
      <c r="B1677" s="242" t="s">
        <v>952</v>
      </c>
      <c r="C1677" s="242" t="s">
        <v>364</v>
      </c>
      <c r="D1677" s="242" t="s">
        <v>2107</v>
      </c>
      <c r="E1677" s="242" t="s">
        <v>133</v>
      </c>
      <c r="F1677" s="243">
        <v>163442.65</v>
      </c>
      <c r="G1677" s="243">
        <v>163442.65</v>
      </c>
      <c r="H1677" s="243">
        <f t="shared" si="54"/>
        <v>100</v>
      </c>
      <c r="I1677" s="123" t="str">
        <f t="shared" si="53"/>
        <v>05020320027241110</v>
      </c>
    </row>
    <row r="1678" spans="1:9">
      <c r="A1678" s="241" t="s">
        <v>1138</v>
      </c>
      <c r="B1678" s="242" t="s">
        <v>952</v>
      </c>
      <c r="C1678" s="242" t="s">
        <v>364</v>
      </c>
      <c r="D1678" s="242" t="s">
        <v>2107</v>
      </c>
      <c r="E1678" s="242" t="s">
        <v>342</v>
      </c>
      <c r="F1678" s="243">
        <v>125532</v>
      </c>
      <c r="G1678" s="243">
        <v>125532</v>
      </c>
      <c r="H1678" s="243">
        <f t="shared" si="54"/>
        <v>100</v>
      </c>
      <c r="I1678" s="123" t="str">
        <f t="shared" si="53"/>
        <v>05020320027241111</v>
      </c>
    </row>
    <row r="1679" spans="1:9" ht="38.25">
      <c r="A1679" s="241" t="s">
        <v>1139</v>
      </c>
      <c r="B1679" s="242" t="s">
        <v>952</v>
      </c>
      <c r="C1679" s="242" t="s">
        <v>364</v>
      </c>
      <c r="D1679" s="242" t="s">
        <v>2107</v>
      </c>
      <c r="E1679" s="242" t="s">
        <v>1056</v>
      </c>
      <c r="F1679" s="243">
        <v>37910.65</v>
      </c>
      <c r="G1679" s="243">
        <v>37910.65</v>
      </c>
      <c r="H1679" s="243">
        <f t="shared" si="54"/>
        <v>100</v>
      </c>
      <c r="I1679" s="123" t="str">
        <f t="shared" si="53"/>
        <v>05020320027241119</v>
      </c>
    </row>
    <row r="1680" spans="1:9" ht="102">
      <c r="A1680" s="241" t="s">
        <v>1314</v>
      </c>
      <c r="B1680" s="242" t="s">
        <v>952</v>
      </c>
      <c r="C1680" s="242" t="s">
        <v>364</v>
      </c>
      <c r="D1680" s="242" t="s">
        <v>1315</v>
      </c>
      <c r="E1680" s="242"/>
      <c r="F1680" s="243">
        <v>2344392.61</v>
      </c>
      <c r="G1680" s="243">
        <v>2344392.61</v>
      </c>
      <c r="H1680" s="243">
        <f t="shared" si="54"/>
        <v>100</v>
      </c>
      <c r="I1680" s="123" t="str">
        <f t="shared" si="53"/>
        <v>05020320080090</v>
      </c>
    </row>
    <row r="1681" spans="1:9" ht="63.75">
      <c r="A1681" s="241" t="s">
        <v>1318</v>
      </c>
      <c r="B1681" s="242" t="s">
        <v>952</v>
      </c>
      <c r="C1681" s="242" t="s">
        <v>364</v>
      </c>
      <c r="D1681" s="242" t="s">
        <v>1315</v>
      </c>
      <c r="E1681" s="242" t="s">
        <v>273</v>
      </c>
      <c r="F1681" s="243">
        <v>1474237.37</v>
      </c>
      <c r="G1681" s="243">
        <v>1474237.37</v>
      </c>
      <c r="H1681" s="243">
        <f t="shared" si="54"/>
        <v>100</v>
      </c>
      <c r="I1681" s="123" t="str">
        <f t="shared" si="53"/>
        <v>05020320080090100</v>
      </c>
    </row>
    <row r="1682" spans="1:9">
      <c r="A1682" s="241" t="s">
        <v>1190</v>
      </c>
      <c r="B1682" s="242" t="s">
        <v>952</v>
      </c>
      <c r="C1682" s="242" t="s">
        <v>364</v>
      </c>
      <c r="D1682" s="242" t="s">
        <v>1315</v>
      </c>
      <c r="E1682" s="242" t="s">
        <v>133</v>
      </c>
      <c r="F1682" s="243">
        <v>1474237.37</v>
      </c>
      <c r="G1682" s="243">
        <v>1474237.37</v>
      </c>
      <c r="H1682" s="243">
        <f t="shared" si="54"/>
        <v>100</v>
      </c>
      <c r="I1682" s="123" t="str">
        <f t="shared" si="53"/>
        <v>05020320080090110</v>
      </c>
    </row>
    <row r="1683" spans="1:9">
      <c r="A1683" s="241" t="s">
        <v>1138</v>
      </c>
      <c r="B1683" s="242" t="s">
        <v>952</v>
      </c>
      <c r="C1683" s="242" t="s">
        <v>364</v>
      </c>
      <c r="D1683" s="242" t="s">
        <v>1315</v>
      </c>
      <c r="E1683" s="242" t="s">
        <v>342</v>
      </c>
      <c r="F1683" s="243">
        <v>1132666.31</v>
      </c>
      <c r="G1683" s="243">
        <v>1132666.31</v>
      </c>
      <c r="H1683" s="243">
        <f t="shared" si="54"/>
        <v>100</v>
      </c>
      <c r="I1683" s="123" t="str">
        <f t="shared" si="53"/>
        <v>05020320080090111</v>
      </c>
    </row>
    <row r="1684" spans="1:9" ht="38.25">
      <c r="A1684" s="241" t="s">
        <v>1139</v>
      </c>
      <c r="B1684" s="242" t="s">
        <v>952</v>
      </c>
      <c r="C1684" s="242" t="s">
        <v>364</v>
      </c>
      <c r="D1684" s="242" t="s">
        <v>1315</v>
      </c>
      <c r="E1684" s="242" t="s">
        <v>1056</v>
      </c>
      <c r="F1684" s="243">
        <v>341571.06</v>
      </c>
      <c r="G1684" s="243">
        <v>341571.06</v>
      </c>
      <c r="H1684" s="243">
        <f t="shared" si="54"/>
        <v>100</v>
      </c>
      <c r="I1684" s="123" t="str">
        <f t="shared" si="53"/>
        <v>05020320080090119</v>
      </c>
    </row>
    <row r="1685" spans="1:9" ht="25.5">
      <c r="A1685" s="241" t="s">
        <v>1319</v>
      </c>
      <c r="B1685" s="242" t="s">
        <v>952</v>
      </c>
      <c r="C1685" s="242" t="s">
        <v>364</v>
      </c>
      <c r="D1685" s="242" t="s">
        <v>1315</v>
      </c>
      <c r="E1685" s="242" t="s">
        <v>1320</v>
      </c>
      <c r="F1685" s="243">
        <v>870155.24</v>
      </c>
      <c r="G1685" s="243">
        <v>870155.24</v>
      </c>
      <c r="H1685" s="243">
        <f t="shared" si="54"/>
        <v>100</v>
      </c>
      <c r="I1685" s="123" t="str">
        <f t="shared" si="53"/>
        <v>05020320080090200</v>
      </c>
    </row>
    <row r="1686" spans="1:9" ht="25.5">
      <c r="A1686" s="241" t="s">
        <v>1196</v>
      </c>
      <c r="B1686" s="242" t="s">
        <v>952</v>
      </c>
      <c r="C1686" s="242" t="s">
        <v>364</v>
      </c>
      <c r="D1686" s="242" t="s">
        <v>1315</v>
      </c>
      <c r="E1686" s="242" t="s">
        <v>1197</v>
      </c>
      <c r="F1686" s="243">
        <v>870155.24</v>
      </c>
      <c r="G1686" s="243">
        <v>870155.24</v>
      </c>
      <c r="H1686" s="243">
        <f t="shared" si="54"/>
        <v>100</v>
      </c>
      <c r="I1686" s="123" t="str">
        <f t="shared" si="53"/>
        <v>05020320080090240</v>
      </c>
    </row>
    <row r="1687" spans="1:9">
      <c r="A1687" s="241" t="s">
        <v>1223</v>
      </c>
      <c r="B1687" s="242" t="s">
        <v>952</v>
      </c>
      <c r="C1687" s="242" t="s">
        <v>364</v>
      </c>
      <c r="D1687" s="242" t="s">
        <v>1315</v>
      </c>
      <c r="E1687" s="242" t="s">
        <v>329</v>
      </c>
      <c r="F1687" s="243">
        <v>870155.24</v>
      </c>
      <c r="G1687" s="243">
        <v>870155.24</v>
      </c>
      <c r="H1687" s="243">
        <f t="shared" si="54"/>
        <v>100</v>
      </c>
      <c r="I1687" s="123" t="str">
        <f t="shared" si="53"/>
        <v>05020320080090244</v>
      </c>
    </row>
    <row r="1688" spans="1:9" ht="153">
      <c r="A1688" s="241" t="s">
        <v>1369</v>
      </c>
      <c r="B1688" s="242" t="s">
        <v>952</v>
      </c>
      <c r="C1688" s="242" t="s">
        <v>364</v>
      </c>
      <c r="D1688" s="242" t="s">
        <v>1370</v>
      </c>
      <c r="E1688" s="242"/>
      <c r="F1688" s="243">
        <v>181756.37</v>
      </c>
      <c r="G1688" s="243">
        <v>181756.37</v>
      </c>
      <c r="H1688" s="243">
        <f t="shared" si="54"/>
        <v>100</v>
      </c>
      <c r="I1688" s="123" t="str">
        <f t="shared" si="53"/>
        <v>05020320081090</v>
      </c>
    </row>
    <row r="1689" spans="1:9" ht="63.75">
      <c r="A1689" s="241" t="s">
        <v>1318</v>
      </c>
      <c r="B1689" s="242" t="s">
        <v>952</v>
      </c>
      <c r="C1689" s="242" t="s">
        <v>364</v>
      </c>
      <c r="D1689" s="242" t="s">
        <v>1370</v>
      </c>
      <c r="E1689" s="242" t="s">
        <v>273</v>
      </c>
      <c r="F1689" s="243">
        <v>181756.37</v>
      </c>
      <c r="G1689" s="243">
        <v>181756.37</v>
      </c>
      <c r="H1689" s="243">
        <f t="shared" si="54"/>
        <v>100</v>
      </c>
      <c r="I1689" s="123" t="str">
        <f t="shared" si="53"/>
        <v>05020320081090100</v>
      </c>
    </row>
    <row r="1690" spans="1:9">
      <c r="A1690" s="241" t="s">
        <v>1190</v>
      </c>
      <c r="B1690" s="242" t="s">
        <v>952</v>
      </c>
      <c r="C1690" s="242" t="s">
        <v>364</v>
      </c>
      <c r="D1690" s="242" t="s">
        <v>1370</v>
      </c>
      <c r="E1690" s="242" t="s">
        <v>133</v>
      </c>
      <c r="F1690" s="243">
        <v>181756.37</v>
      </c>
      <c r="G1690" s="243">
        <v>181756.37</v>
      </c>
      <c r="H1690" s="243">
        <f t="shared" si="54"/>
        <v>100</v>
      </c>
      <c r="I1690" s="123" t="str">
        <f t="shared" si="53"/>
        <v>05020320081090110</v>
      </c>
    </row>
    <row r="1691" spans="1:9">
      <c r="A1691" s="241" t="s">
        <v>1138</v>
      </c>
      <c r="B1691" s="242" t="s">
        <v>952</v>
      </c>
      <c r="C1691" s="242" t="s">
        <v>364</v>
      </c>
      <c r="D1691" s="242" t="s">
        <v>1370</v>
      </c>
      <c r="E1691" s="242" t="s">
        <v>342</v>
      </c>
      <c r="F1691" s="243">
        <v>139597.82</v>
      </c>
      <c r="G1691" s="243">
        <v>139597.82</v>
      </c>
      <c r="H1691" s="243">
        <f t="shared" si="54"/>
        <v>100</v>
      </c>
      <c r="I1691" s="123" t="str">
        <f t="shared" si="53"/>
        <v>05020320081090111</v>
      </c>
    </row>
    <row r="1692" spans="1:9" ht="38.25">
      <c r="A1692" s="241" t="s">
        <v>1139</v>
      </c>
      <c r="B1692" s="242" t="s">
        <v>952</v>
      </c>
      <c r="C1692" s="242" t="s">
        <v>364</v>
      </c>
      <c r="D1692" s="242" t="s">
        <v>1370</v>
      </c>
      <c r="E1692" s="242" t="s">
        <v>1056</v>
      </c>
      <c r="F1692" s="243">
        <v>42158.55</v>
      </c>
      <c r="G1692" s="243">
        <v>42158.55</v>
      </c>
      <c r="H1692" s="243">
        <f t="shared" si="54"/>
        <v>100</v>
      </c>
      <c r="I1692" s="123" t="str">
        <f t="shared" si="53"/>
        <v>05020320081090119</v>
      </c>
    </row>
    <row r="1693" spans="1:9" ht="25.5">
      <c r="A1693" s="241" t="s">
        <v>35</v>
      </c>
      <c r="B1693" s="242" t="s">
        <v>208</v>
      </c>
      <c r="C1693" s="242"/>
      <c r="D1693" s="242"/>
      <c r="E1693" s="242"/>
      <c r="F1693" s="243">
        <v>210238921.80000001</v>
      </c>
      <c r="G1693" s="243">
        <v>201739486.77000001</v>
      </c>
      <c r="H1693" s="243">
        <f t="shared" si="54"/>
        <v>95.957249515346405</v>
      </c>
      <c r="I1693" s="123" t="str">
        <f t="shared" si="53"/>
        <v/>
      </c>
    </row>
    <row r="1694" spans="1:9">
      <c r="A1694" s="241" t="s">
        <v>234</v>
      </c>
      <c r="B1694" s="242" t="s">
        <v>208</v>
      </c>
      <c r="C1694" s="242" t="s">
        <v>1135</v>
      </c>
      <c r="D1694" s="242"/>
      <c r="E1694" s="242"/>
      <c r="F1694" s="243">
        <v>21962438.5</v>
      </c>
      <c r="G1694" s="243">
        <v>20572140.34</v>
      </c>
      <c r="H1694" s="243">
        <f t="shared" si="54"/>
        <v>93.669654851850808</v>
      </c>
      <c r="I1694" s="123" t="str">
        <f t="shared" si="53"/>
        <v>0100</v>
      </c>
    </row>
    <row r="1695" spans="1:9" ht="38.25">
      <c r="A1695" s="241" t="s">
        <v>216</v>
      </c>
      <c r="B1695" s="242" t="s">
        <v>208</v>
      </c>
      <c r="C1695" s="242" t="s">
        <v>331</v>
      </c>
      <c r="D1695" s="242"/>
      <c r="E1695" s="242"/>
      <c r="F1695" s="243">
        <v>20435514.870000001</v>
      </c>
      <c r="G1695" s="243">
        <v>20260540.34</v>
      </c>
      <c r="H1695" s="243">
        <f t="shared" si="54"/>
        <v>99.143772343818597</v>
      </c>
      <c r="I1695" s="123" t="str">
        <f t="shared" si="53"/>
        <v>0106</v>
      </c>
    </row>
    <row r="1696" spans="1:9" ht="25.5">
      <c r="A1696" s="241" t="s">
        <v>1371</v>
      </c>
      <c r="B1696" s="242" t="s">
        <v>208</v>
      </c>
      <c r="C1696" s="242" t="s">
        <v>331</v>
      </c>
      <c r="D1696" s="242" t="s">
        <v>999</v>
      </c>
      <c r="E1696" s="242"/>
      <c r="F1696" s="243">
        <v>20435514.870000001</v>
      </c>
      <c r="G1696" s="243">
        <v>20260540.34</v>
      </c>
      <c r="H1696" s="243">
        <f t="shared" si="54"/>
        <v>99.143772343818597</v>
      </c>
      <c r="I1696" s="123" t="str">
        <f t="shared" si="53"/>
        <v>01061100000000</v>
      </c>
    </row>
    <row r="1697" spans="1:9" ht="25.5">
      <c r="A1697" s="241" t="s">
        <v>492</v>
      </c>
      <c r="B1697" s="242" t="s">
        <v>208</v>
      </c>
      <c r="C1697" s="242" t="s">
        <v>331</v>
      </c>
      <c r="D1697" s="242" t="s">
        <v>1001</v>
      </c>
      <c r="E1697" s="242"/>
      <c r="F1697" s="243">
        <v>20435514.870000001</v>
      </c>
      <c r="G1697" s="243">
        <v>20260540.34</v>
      </c>
      <c r="H1697" s="243">
        <f t="shared" si="54"/>
        <v>99.143772343818597</v>
      </c>
      <c r="I1697" s="123" t="str">
        <f t="shared" si="53"/>
        <v>01061120000000</v>
      </c>
    </row>
    <row r="1698" spans="1:9" ht="89.25">
      <c r="A1698" s="241" t="s">
        <v>2232</v>
      </c>
      <c r="B1698" s="242" t="s">
        <v>208</v>
      </c>
      <c r="C1698" s="242" t="s">
        <v>331</v>
      </c>
      <c r="D1698" s="242" t="s">
        <v>2233</v>
      </c>
      <c r="E1698" s="242"/>
      <c r="F1698" s="243">
        <v>113970</v>
      </c>
      <c r="G1698" s="243">
        <v>113970</v>
      </c>
      <c r="H1698" s="243">
        <f t="shared" si="54"/>
        <v>100</v>
      </c>
      <c r="I1698" s="123" t="str">
        <f t="shared" si="53"/>
        <v>01061120010340</v>
      </c>
    </row>
    <row r="1699" spans="1:9" ht="63.75">
      <c r="A1699" s="241" t="s">
        <v>1318</v>
      </c>
      <c r="B1699" s="242" t="s">
        <v>208</v>
      </c>
      <c r="C1699" s="242" t="s">
        <v>331</v>
      </c>
      <c r="D1699" s="242" t="s">
        <v>2233</v>
      </c>
      <c r="E1699" s="242" t="s">
        <v>273</v>
      </c>
      <c r="F1699" s="243">
        <v>113970</v>
      </c>
      <c r="G1699" s="243">
        <v>113970</v>
      </c>
      <c r="H1699" s="243">
        <f t="shared" si="54"/>
        <v>100</v>
      </c>
      <c r="I1699" s="123" t="str">
        <f t="shared" si="53"/>
        <v>01061120010340100</v>
      </c>
    </row>
    <row r="1700" spans="1:9" ht="25.5">
      <c r="A1700" s="241" t="s">
        <v>1203</v>
      </c>
      <c r="B1700" s="242" t="s">
        <v>208</v>
      </c>
      <c r="C1700" s="242" t="s">
        <v>331</v>
      </c>
      <c r="D1700" s="242" t="s">
        <v>2233</v>
      </c>
      <c r="E1700" s="242" t="s">
        <v>28</v>
      </c>
      <c r="F1700" s="243">
        <v>113970</v>
      </c>
      <c r="G1700" s="243">
        <v>113970</v>
      </c>
      <c r="H1700" s="243">
        <f t="shared" si="54"/>
        <v>100</v>
      </c>
      <c r="I1700" s="123" t="str">
        <f t="shared" ref="I1700:I1763" si="55">CONCATENATE(C1700,D1700,E1700)</f>
        <v>01061120010340120</v>
      </c>
    </row>
    <row r="1701" spans="1:9" ht="25.5">
      <c r="A1701" s="241" t="s">
        <v>953</v>
      </c>
      <c r="B1701" s="242" t="s">
        <v>208</v>
      </c>
      <c r="C1701" s="242" t="s">
        <v>331</v>
      </c>
      <c r="D1701" s="242" t="s">
        <v>2233</v>
      </c>
      <c r="E1701" s="242" t="s">
        <v>324</v>
      </c>
      <c r="F1701" s="243">
        <v>87535</v>
      </c>
      <c r="G1701" s="243">
        <v>87535</v>
      </c>
      <c r="H1701" s="243">
        <f t="shared" si="54"/>
        <v>100</v>
      </c>
      <c r="I1701" s="123" t="str">
        <f t="shared" si="55"/>
        <v>01061120010340121</v>
      </c>
    </row>
    <row r="1702" spans="1:9" ht="38.25">
      <c r="A1702" s="241" t="s">
        <v>1054</v>
      </c>
      <c r="B1702" s="242" t="s">
        <v>208</v>
      </c>
      <c r="C1702" s="242" t="s">
        <v>331</v>
      </c>
      <c r="D1702" s="242" t="s">
        <v>2233</v>
      </c>
      <c r="E1702" s="242" t="s">
        <v>1055</v>
      </c>
      <c r="F1702" s="243">
        <v>26435</v>
      </c>
      <c r="G1702" s="243">
        <v>26435</v>
      </c>
      <c r="H1702" s="243">
        <f t="shared" si="54"/>
        <v>100</v>
      </c>
      <c r="I1702" s="123" t="str">
        <f t="shared" si="55"/>
        <v>01061120010340129</v>
      </c>
    </row>
    <row r="1703" spans="1:9" ht="127.5">
      <c r="A1703" s="241" t="s">
        <v>2108</v>
      </c>
      <c r="B1703" s="242" t="s">
        <v>208</v>
      </c>
      <c r="C1703" s="242" t="s">
        <v>331</v>
      </c>
      <c r="D1703" s="242" t="s">
        <v>2109</v>
      </c>
      <c r="E1703" s="242"/>
      <c r="F1703" s="243">
        <v>115770</v>
      </c>
      <c r="G1703" s="243">
        <v>115770</v>
      </c>
      <c r="H1703" s="243">
        <f t="shared" si="54"/>
        <v>100</v>
      </c>
      <c r="I1703" s="123" t="str">
        <f t="shared" si="55"/>
        <v>01061120027241</v>
      </c>
    </row>
    <row r="1704" spans="1:9" ht="63.75">
      <c r="A1704" s="241" t="s">
        <v>1318</v>
      </c>
      <c r="B1704" s="242" t="s">
        <v>208</v>
      </c>
      <c r="C1704" s="242" t="s">
        <v>331</v>
      </c>
      <c r="D1704" s="242" t="s">
        <v>2109</v>
      </c>
      <c r="E1704" s="242" t="s">
        <v>273</v>
      </c>
      <c r="F1704" s="243">
        <v>115770</v>
      </c>
      <c r="G1704" s="243">
        <v>115770</v>
      </c>
      <c r="H1704" s="243">
        <f t="shared" si="54"/>
        <v>100</v>
      </c>
      <c r="I1704" s="123" t="str">
        <f t="shared" si="55"/>
        <v>01061120027241100</v>
      </c>
    </row>
    <row r="1705" spans="1:9" ht="25.5">
      <c r="A1705" s="241" t="s">
        <v>1203</v>
      </c>
      <c r="B1705" s="242" t="s">
        <v>208</v>
      </c>
      <c r="C1705" s="242" t="s">
        <v>331</v>
      </c>
      <c r="D1705" s="242" t="s">
        <v>2109</v>
      </c>
      <c r="E1705" s="242" t="s">
        <v>28</v>
      </c>
      <c r="F1705" s="243">
        <v>115770</v>
      </c>
      <c r="G1705" s="243">
        <v>115770</v>
      </c>
      <c r="H1705" s="243">
        <f t="shared" si="54"/>
        <v>100</v>
      </c>
      <c r="I1705" s="123" t="str">
        <f t="shared" si="55"/>
        <v>01061120027241120</v>
      </c>
    </row>
    <row r="1706" spans="1:9" ht="25.5">
      <c r="A1706" s="241" t="s">
        <v>953</v>
      </c>
      <c r="B1706" s="242" t="s">
        <v>208</v>
      </c>
      <c r="C1706" s="242" t="s">
        <v>331</v>
      </c>
      <c r="D1706" s="242" t="s">
        <v>2109</v>
      </c>
      <c r="E1706" s="242" t="s">
        <v>324</v>
      </c>
      <c r="F1706" s="243">
        <v>88917</v>
      </c>
      <c r="G1706" s="243">
        <v>88917</v>
      </c>
      <c r="H1706" s="243">
        <f t="shared" si="54"/>
        <v>100</v>
      </c>
      <c r="I1706" s="123" t="str">
        <f t="shared" si="55"/>
        <v>01061120027241121</v>
      </c>
    </row>
    <row r="1707" spans="1:9" ht="38.25">
      <c r="A1707" s="241" t="s">
        <v>1054</v>
      </c>
      <c r="B1707" s="242" t="s">
        <v>208</v>
      </c>
      <c r="C1707" s="242" t="s">
        <v>331</v>
      </c>
      <c r="D1707" s="242" t="s">
        <v>2109</v>
      </c>
      <c r="E1707" s="242" t="s">
        <v>1055</v>
      </c>
      <c r="F1707" s="243">
        <v>26853</v>
      </c>
      <c r="G1707" s="243">
        <v>26853</v>
      </c>
      <c r="H1707" s="243">
        <f t="shared" si="54"/>
        <v>100</v>
      </c>
      <c r="I1707" s="123" t="str">
        <f t="shared" si="55"/>
        <v>01061120027241129</v>
      </c>
    </row>
    <row r="1708" spans="1:9" ht="76.5">
      <c r="A1708" s="241" t="s">
        <v>2110</v>
      </c>
      <c r="B1708" s="242" t="s">
        <v>208</v>
      </c>
      <c r="C1708" s="242" t="s">
        <v>331</v>
      </c>
      <c r="D1708" s="242" t="s">
        <v>2111</v>
      </c>
      <c r="E1708" s="242"/>
      <c r="F1708" s="243">
        <v>748621</v>
      </c>
      <c r="G1708" s="243">
        <v>748621</v>
      </c>
      <c r="H1708" s="243">
        <f t="shared" si="54"/>
        <v>100</v>
      </c>
      <c r="I1708" s="123" t="str">
        <f t="shared" si="55"/>
        <v>01061120027242</v>
      </c>
    </row>
    <row r="1709" spans="1:9" ht="63.75">
      <c r="A1709" s="241" t="s">
        <v>1318</v>
      </c>
      <c r="B1709" s="242" t="s">
        <v>208</v>
      </c>
      <c r="C1709" s="242" t="s">
        <v>331</v>
      </c>
      <c r="D1709" s="242" t="s">
        <v>2111</v>
      </c>
      <c r="E1709" s="242" t="s">
        <v>273</v>
      </c>
      <c r="F1709" s="243">
        <v>748621</v>
      </c>
      <c r="G1709" s="243">
        <v>748621</v>
      </c>
      <c r="H1709" s="243">
        <f t="shared" si="54"/>
        <v>100</v>
      </c>
      <c r="I1709" s="123" t="str">
        <f t="shared" si="55"/>
        <v>01061120027242100</v>
      </c>
    </row>
    <row r="1710" spans="1:9" ht="25.5">
      <c r="A1710" s="241" t="s">
        <v>1203</v>
      </c>
      <c r="B1710" s="242" t="s">
        <v>208</v>
      </c>
      <c r="C1710" s="242" t="s">
        <v>331</v>
      </c>
      <c r="D1710" s="242" t="s">
        <v>2111</v>
      </c>
      <c r="E1710" s="242" t="s">
        <v>28</v>
      </c>
      <c r="F1710" s="243">
        <v>748621</v>
      </c>
      <c r="G1710" s="243">
        <v>748621</v>
      </c>
      <c r="H1710" s="243">
        <f t="shared" si="54"/>
        <v>100</v>
      </c>
      <c r="I1710" s="123" t="str">
        <f t="shared" si="55"/>
        <v>01061120027242120</v>
      </c>
    </row>
    <row r="1711" spans="1:9" ht="25.5">
      <c r="A1711" s="241" t="s">
        <v>953</v>
      </c>
      <c r="B1711" s="242" t="s">
        <v>208</v>
      </c>
      <c r="C1711" s="242" t="s">
        <v>331</v>
      </c>
      <c r="D1711" s="242" t="s">
        <v>2111</v>
      </c>
      <c r="E1711" s="242" t="s">
        <v>324</v>
      </c>
      <c r="F1711" s="243">
        <v>574977</v>
      </c>
      <c r="G1711" s="243">
        <v>574977</v>
      </c>
      <c r="H1711" s="243">
        <f t="shared" si="54"/>
        <v>100</v>
      </c>
      <c r="I1711" s="123" t="str">
        <f t="shared" si="55"/>
        <v>01061120027242121</v>
      </c>
    </row>
    <row r="1712" spans="1:9" ht="38.25">
      <c r="A1712" s="241" t="s">
        <v>1054</v>
      </c>
      <c r="B1712" s="242" t="s">
        <v>208</v>
      </c>
      <c r="C1712" s="242" t="s">
        <v>331</v>
      </c>
      <c r="D1712" s="242" t="s">
        <v>2111</v>
      </c>
      <c r="E1712" s="242" t="s">
        <v>1055</v>
      </c>
      <c r="F1712" s="243">
        <v>173644</v>
      </c>
      <c r="G1712" s="243">
        <v>173644</v>
      </c>
      <c r="H1712" s="243">
        <f t="shared" si="54"/>
        <v>100</v>
      </c>
      <c r="I1712" s="123" t="str">
        <f t="shared" si="55"/>
        <v>01061120027242129</v>
      </c>
    </row>
    <row r="1713" spans="1:9" ht="63.75">
      <c r="A1713" s="241" t="s">
        <v>425</v>
      </c>
      <c r="B1713" s="242" t="s">
        <v>208</v>
      </c>
      <c r="C1713" s="242" t="s">
        <v>331</v>
      </c>
      <c r="D1713" s="242" t="s">
        <v>788</v>
      </c>
      <c r="E1713" s="242"/>
      <c r="F1713" s="243">
        <v>15244442.609999999</v>
      </c>
      <c r="G1713" s="243">
        <v>15225361.92</v>
      </c>
      <c r="H1713" s="243">
        <f t="shared" si="54"/>
        <v>99.874835108844962</v>
      </c>
      <c r="I1713" s="123" t="str">
        <f t="shared" si="55"/>
        <v>01061120060000</v>
      </c>
    </row>
    <row r="1714" spans="1:9" ht="63.75">
      <c r="A1714" s="241" t="s">
        <v>1318</v>
      </c>
      <c r="B1714" s="242" t="s">
        <v>208</v>
      </c>
      <c r="C1714" s="242" t="s">
        <v>331</v>
      </c>
      <c r="D1714" s="242" t="s">
        <v>788</v>
      </c>
      <c r="E1714" s="242" t="s">
        <v>273</v>
      </c>
      <c r="F1714" s="243">
        <v>13336032.6</v>
      </c>
      <c r="G1714" s="243">
        <v>13324025.6</v>
      </c>
      <c r="H1714" s="243">
        <f t="shared" si="54"/>
        <v>99.909965726988403</v>
      </c>
      <c r="I1714" s="123" t="str">
        <f t="shared" si="55"/>
        <v>01061120060000100</v>
      </c>
    </row>
    <row r="1715" spans="1:9" ht="25.5">
      <c r="A1715" s="241" t="s">
        <v>1203</v>
      </c>
      <c r="B1715" s="242" t="s">
        <v>208</v>
      </c>
      <c r="C1715" s="242" t="s">
        <v>331</v>
      </c>
      <c r="D1715" s="242" t="s">
        <v>788</v>
      </c>
      <c r="E1715" s="242" t="s">
        <v>28</v>
      </c>
      <c r="F1715" s="243">
        <v>13336032.6</v>
      </c>
      <c r="G1715" s="243">
        <v>13324025.6</v>
      </c>
      <c r="H1715" s="243">
        <f t="shared" si="54"/>
        <v>99.909965726988403</v>
      </c>
      <c r="I1715" s="123" t="str">
        <f t="shared" si="55"/>
        <v>01061120060000120</v>
      </c>
    </row>
    <row r="1716" spans="1:9" ht="25.5">
      <c r="A1716" s="241" t="s">
        <v>953</v>
      </c>
      <c r="B1716" s="242" t="s">
        <v>208</v>
      </c>
      <c r="C1716" s="242" t="s">
        <v>331</v>
      </c>
      <c r="D1716" s="242" t="s">
        <v>788</v>
      </c>
      <c r="E1716" s="242" t="s">
        <v>324</v>
      </c>
      <c r="F1716" s="243">
        <v>10219184.42</v>
      </c>
      <c r="G1716" s="243">
        <v>10211359.470000001</v>
      </c>
      <c r="H1716" s="243">
        <f t="shared" si="54"/>
        <v>99.923428820946953</v>
      </c>
      <c r="I1716" s="123" t="str">
        <f t="shared" si="55"/>
        <v>01061120060000121</v>
      </c>
    </row>
    <row r="1717" spans="1:9" ht="38.25">
      <c r="A1717" s="241" t="s">
        <v>325</v>
      </c>
      <c r="B1717" s="242" t="s">
        <v>208</v>
      </c>
      <c r="C1717" s="242" t="s">
        <v>331</v>
      </c>
      <c r="D1717" s="242" t="s">
        <v>788</v>
      </c>
      <c r="E1717" s="242" t="s">
        <v>326</v>
      </c>
      <c r="F1717" s="243">
        <v>43210.57</v>
      </c>
      <c r="G1717" s="243">
        <v>43210.57</v>
      </c>
      <c r="H1717" s="243">
        <f t="shared" si="54"/>
        <v>100</v>
      </c>
      <c r="I1717" s="123" t="str">
        <f t="shared" si="55"/>
        <v>01061120060000122</v>
      </c>
    </row>
    <row r="1718" spans="1:9" ht="38.25">
      <c r="A1718" s="241" t="s">
        <v>1054</v>
      </c>
      <c r="B1718" s="242" t="s">
        <v>208</v>
      </c>
      <c r="C1718" s="242" t="s">
        <v>331</v>
      </c>
      <c r="D1718" s="242" t="s">
        <v>788</v>
      </c>
      <c r="E1718" s="242" t="s">
        <v>1055</v>
      </c>
      <c r="F1718" s="243">
        <v>3073637.61</v>
      </c>
      <c r="G1718" s="243">
        <v>3069455.56</v>
      </c>
      <c r="H1718" s="243">
        <f t="shared" si="54"/>
        <v>99.863938091257282</v>
      </c>
      <c r="I1718" s="123" t="str">
        <f t="shared" si="55"/>
        <v>01061120060000129</v>
      </c>
    </row>
    <row r="1719" spans="1:9" ht="25.5">
      <c r="A1719" s="241" t="s">
        <v>1319</v>
      </c>
      <c r="B1719" s="242" t="s">
        <v>208</v>
      </c>
      <c r="C1719" s="242" t="s">
        <v>331</v>
      </c>
      <c r="D1719" s="242" t="s">
        <v>788</v>
      </c>
      <c r="E1719" s="242" t="s">
        <v>1320</v>
      </c>
      <c r="F1719" s="243">
        <v>1884134</v>
      </c>
      <c r="G1719" s="243">
        <v>1881643.24</v>
      </c>
      <c r="H1719" s="243">
        <f t="shared" si="54"/>
        <v>99.867803457715851</v>
      </c>
      <c r="I1719" s="123" t="str">
        <f t="shared" si="55"/>
        <v>01061120060000200</v>
      </c>
    </row>
    <row r="1720" spans="1:9" ht="25.5">
      <c r="A1720" s="241" t="s">
        <v>1196</v>
      </c>
      <c r="B1720" s="242" t="s">
        <v>208</v>
      </c>
      <c r="C1720" s="242" t="s">
        <v>331</v>
      </c>
      <c r="D1720" s="242" t="s">
        <v>788</v>
      </c>
      <c r="E1720" s="242" t="s">
        <v>1197</v>
      </c>
      <c r="F1720" s="243">
        <v>1884134</v>
      </c>
      <c r="G1720" s="243">
        <v>1881643.24</v>
      </c>
      <c r="H1720" s="243">
        <f t="shared" si="54"/>
        <v>99.867803457715851</v>
      </c>
      <c r="I1720" s="123" t="str">
        <f t="shared" si="55"/>
        <v>01061120060000240</v>
      </c>
    </row>
    <row r="1721" spans="1:9">
      <c r="A1721" s="241" t="s">
        <v>1223</v>
      </c>
      <c r="B1721" s="242" t="s">
        <v>208</v>
      </c>
      <c r="C1721" s="242" t="s">
        <v>331</v>
      </c>
      <c r="D1721" s="242" t="s">
        <v>788</v>
      </c>
      <c r="E1721" s="242" t="s">
        <v>329</v>
      </c>
      <c r="F1721" s="243">
        <v>1884134</v>
      </c>
      <c r="G1721" s="243">
        <v>1881643.24</v>
      </c>
      <c r="H1721" s="243">
        <f t="shared" si="54"/>
        <v>99.867803457715851</v>
      </c>
      <c r="I1721" s="123" t="str">
        <f t="shared" si="55"/>
        <v>01061120060000244</v>
      </c>
    </row>
    <row r="1722" spans="1:9">
      <c r="A1722" s="241" t="s">
        <v>1321</v>
      </c>
      <c r="B1722" s="242" t="s">
        <v>208</v>
      </c>
      <c r="C1722" s="242" t="s">
        <v>331</v>
      </c>
      <c r="D1722" s="242" t="s">
        <v>788</v>
      </c>
      <c r="E1722" s="242" t="s">
        <v>1322</v>
      </c>
      <c r="F1722" s="243">
        <v>24276.01</v>
      </c>
      <c r="G1722" s="243">
        <v>19693.080000000002</v>
      </c>
      <c r="H1722" s="243">
        <f t="shared" si="54"/>
        <v>81.121568165444003</v>
      </c>
      <c r="I1722" s="123" t="str">
        <f t="shared" si="55"/>
        <v>01061120060000800</v>
      </c>
    </row>
    <row r="1723" spans="1:9">
      <c r="A1723" s="241" t="s">
        <v>1210</v>
      </c>
      <c r="B1723" s="242" t="s">
        <v>208</v>
      </c>
      <c r="C1723" s="242" t="s">
        <v>331</v>
      </c>
      <c r="D1723" s="242" t="s">
        <v>788</v>
      </c>
      <c r="E1723" s="242" t="s">
        <v>201</v>
      </c>
      <c r="F1723" s="243">
        <v>6582.93</v>
      </c>
      <c r="G1723" s="243">
        <v>2000</v>
      </c>
      <c r="H1723" s="243">
        <f t="shared" si="54"/>
        <v>30.381608189666302</v>
      </c>
      <c r="I1723" s="123" t="str">
        <f t="shared" si="55"/>
        <v>01061120060000830</v>
      </c>
    </row>
    <row r="1724" spans="1:9" ht="38.25">
      <c r="A1724" s="241" t="s">
        <v>1162</v>
      </c>
      <c r="B1724" s="242" t="s">
        <v>208</v>
      </c>
      <c r="C1724" s="242" t="s">
        <v>331</v>
      </c>
      <c r="D1724" s="242" t="s">
        <v>788</v>
      </c>
      <c r="E1724" s="242" t="s">
        <v>432</v>
      </c>
      <c r="F1724" s="243">
        <v>6582.93</v>
      </c>
      <c r="G1724" s="243">
        <v>2000</v>
      </c>
      <c r="H1724" s="243">
        <f t="shared" si="54"/>
        <v>30.381608189666302</v>
      </c>
      <c r="I1724" s="123" t="str">
        <f t="shared" si="55"/>
        <v>01061120060000831</v>
      </c>
    </row>
    <row r="1725" spans="1:9">
      <c r="A1725" s="241" t="s">
        <v>1201</v>
      </c>
      <c r="B1725" s="242" t="s">
        <v>208</v>
      </c>
      <c r="C1725" s="242" t="s">
        <v>331</v>
      </c>
      <c r="D1725" s="242" t="s">
        <v>788</v>
      </c>
      <c r="E1725" s="242" t="s">
        <v>1202</v>
      </c>
      <c r="F1725" s="243">
        <v>17693.080000000002</v>
      </c>
      <c r="G1725" s="243">
        <v>17693.080000000002</v>
      </c>
      <c r="H1725" s="243">
        <f t="shared" si="54"/>
        <v>100</v>
      </c>
      <c r="I1725" s="123" t="str">
        <f t="shared" si="55"/>
        <v>01061120060000850</v>
      </c>
    </row>
    <row r="1726" spans="1:9">
      <c r="A1726" s="241" t="s">
        <v>1057</v>
      </c>
      <c r="B1726" s="242" t="s">
        <v>208</v>
      </c>
      <c r="C1726" s="242" t="s">
        <v>331</v>
      </c>
      <c r="D1726" s="242" t="s">
        <v>788</v>
      </c>
      <c r="E1726" s="242" t="s">
        <v>1058</v>
      </c>
      <c r="F1726" s="243">
        <v>17693.080000000002</v>
      </c>
      <c r="G1726" s="243">
        <v>17693.080000000002</v>
      </c>
      <c r="H1726" s="243">
        <f t="shared" si="54"/>
        <v>100</v>
      </c>
      <c r="I1726" s="123" t="str">
        <f t="shared" si="55"/>
        <v>01061120060000853</v>
      </c>
    </row>
    <row r="1727" spans="1:9" ht="89.25">
      <c r="A1727" s="241" t="s">
        <v>535</v>
      </c>
      <c r="B1727" s="242" t="s">
        <v>208</v>
      </c>
      <c r="C1727" s="242" t="s">
        <v>331</v>
      </c>
      <c r="D1727" s="242" t="s">
        <v>789</v>
      </c>
      <c r="E1727" s="242"/>
      <c r="F1727" s="243">
        <v>917957.93</v>
      </c>
      <c r="G1727" s="243">
        <v>917957.93</v>
      </c>
      <c r="H1727" s="243">
        <f t="shared" si="54"/>
        <v>100</v>
      </c>
      <c r="I1727" s="123" t="str">
        <f t="shared" si="55"/>
        <v>01061120061000</v>
      </c>
    </row>
    <row r="1728" spans="1:9" ht="63.75">
      <c r="A1728" s="241" t="s">
        <v>1318</v>
      </c>
      <c r="B1728" s="242" t="s">
        <v>208</v>
      </c>
      <c r="C1728" s="242" t="s">
        <v>331</v>
      </c>
      <c r="D1728" s="242" t="s">
        <v>789</v>
      </c>
      <c r="E1728" s="242" t="s">
        <v>273</v>
      </c>
      <c r="F1728" s="243">
        <v>917957.93</v>
      </c>
      <c r="G1728" s="243">
        <v>917957.93</v>
      </c>
      <c r="H1728" s="243">
        <f t="shared" si="54"/>
        <v>100</v>
      </c>
      <c r="I1728" s="123" t="str">
        <f t="shared" si="55"/>
        <v>01061120061000100</v>
      </c>
    </row>
    <row r="1729" spans="1:9" ht="25.5">
      <c r="A1729" s="241" t="s">
        <v>1203</v>
      </c>
      <c r="B1729" s="242" t="s">
        <v>208</v>
      </c>
      <c r="C1729" s="242" t="s">
        <v>331</v>
      </c>
      <c r="D1729" s="242" t="s">
        <v>789</v>
      </c>
      <c r="E1729" s="242" t="s">
        <v>28</v>
      </c>
      <c r="F1729" s="243">
        <v>917957.93</v>
      </c>
      <c r="G1729" s="243">
        <v>917957.93</v>
      </c>
      <c r="H1729" s="243">
        <f t="shared" si="54"/>
        <v>100</v>
      </c>
      <c r="I1729" s="123" t="str">
        <f t="shared" si="55"/>
        <v>01061120061000120</v>
      </c>
    </row>
    <row r="1730" spans="1:9" ht="25.5">
      <c r="A1730" s="241" t="s">
        <v>953</v>
      </c>
      <c r="B1730" s="242" t="s">
        <v>208</v>
      </c>
      <c r="C1730" s="242" t="s">
        <v>331</v>
      </c>
      <c r="D1730" s="242" t="s">
        <v>789</v>
      </c>
      <c r="E1730" s="242" t="s">
        <v>324</v>
      </c>
      <c r="F1730" s="243">
        <v>705035.51</v>
      </c>
      <c r="G1730" s="243">
        <v>705035.51</v>
      </c>
      <c r="H1730" s="243">
        <f t="shared" si="54"/>
        <v>100</v>
      </c>
      <c r="I1730" s="123" t="str">
        <f t="shared" si="55"/>
        <v>01061120061000121</v>
      </c>
    </row>
    <row r="1731" spans="1:9" ht="38.25">
      <c r="A1731" s="241" t="s">
        <v>1054</v>
      </c>
      <c r="B1731" s="242" t="s">
        <v>208</v>
      </c>
      <c r="C1731" s="242" t="s">
        <v>331</v>
      </c>
      <c r="D1731" s="242" t="s">
        <v>789</v>
      </c>
      <c r="E1731" s="242" t="s">
        <v>1055</v>
      </c>
      <c r="F1731" s="243">
        <v>212922.42</v>
      </c>
      <c r="G1731" s="243">
        <v>212922.42</v>
      </c>
      <c r="H1731" s="243">
        <f t="shared" ref="H1731:H1791" si="56">G1731/F1731*100</f>
        <v>100</v>
      </c>
      <c r="I1731" s="123" t="str">
        <f t="shared" si="55"/>
        <v>01061120061000129</v>
      </c>
    </row>
    <row r="1732" spans="1:9" ht="76.5">
      <c r="A1732" s="241" t="s">
        <v>585</v>
      </c>
      <c r="B1732" s="242" t="s">
        <v>208</v>
      </c>
      <c r="C1732" s="242" t="s">
        <v>331</v>
      </c>
      <c r="D1732" s="242" t="s">
        <v>790</v>
      </c>
      <c r="E1732" s="242"/>
      <c r="F1732" s="243">
        <v>35406</v>
      </c>
      <c r="G1732" s="243">
        <v>35406</v>
      </c>
      <c r="H1732" s="243">
        <f t="shared" si="56"/>
        <v>100</v>
      </c>
      <c r="I1732" s="123" t="str">
        <f t="shared" si="55"/>
        <v>01061120067000</v>
      </c>
    </row>
    <row r="1733" spans="1:9" ht="63.75">
      <c r="A1733" s="241" t="s">
        <v>1318</v>
      </c>
      <c r="B1733" s="242" t="s">
        <v>208</v>
      </c>
      <c r="C1733" s="242" t="s">
        <v>331</v>
      </c>
      <c r="D1733" s="242" t="s">
        <v>790</v>
      </c>
      <c r="E1733" s="242" t="s">
        <v>273</v>
      </c>
      <c r="F1733" s="243">
        <v>35406</v>
      </c>
      <c r="G1733" s="243">
        <v>35406</v>
      </c>
      <c r="H1733" s="243">
        <f t="shared" si="56"/>
        <v>100</v>
      </c>
      <c r="I1733" s="123" t="str">
        <f t="shared" si="55"/>
        <v>01061120067000100</v>
      </c>
    </row>
    <row r="1734" spans="1:9" ht="25.5">
      <c r="A1734" s="241" t="s">
        <v>1203</v>
      </c>
      <c r="B1734" s="242" t="s">
        <v>208</v>
      </c>
      <c r="C1734" s="242" t="s">
        <v>331</v>
      </c>
      <c r="D1734" s="242" t="s">
        <v>790</v>
      </c>
      <c r="E1734" s="242" t="s">
        <v>28</v>
      </c>
      <c r="F1734" s="243">
        <v>35406</v>
      </c>
      <c r="G1734" s="243">
        <v>35406</v>
      </c>
      <c r="H1734" s="243">
        <f t="shared" si="56"/>
        <v>100</v>
      </c>
      <c r="I1734" s="123" t="str">
        <f t="shared" si="55"/>
        <v>01061120067000120</v>
      </c>
    </row>
    <row r="1735" spans="1:9" ht="38.25">
      <c r="A1735" s="241" t="s">
        <v>325</v>
      </c>
      <c r="B1735" s="242" t="s">
        <v>208</v>
      </c>
      <c r="C1735" s="242" t="s">
        <v>331</v>
      </c>
      <c r="D1735" s="242" t="s">
        <v>790</v>
      </c>
      <c r="E1735" s="242" t="s">
        <v>326</v>
      </c>
      <c r="F1735" s="243">
        <v>35406</v>
      </c>
      <c r="G1735" s="243">
        <v>35406</v>
      </c>
      <c r="H1735" s="243">
        <f t="shared" si="56"/>
        <v>100</v>
      </c>
      <c r="I1735" s="123" t="str">
        <f t="shared" si="55"/>
        <v>01061120067000122</v>
      </c>
    </row>
    <row r="1736" spans="1:9" ht="76.5">
      <c r="A1736" s="241" t="s">
        <v>933</v>
      </c>
      <c r="B1736" s="242" t="s">
        <v>208</v>
      </c>
      <c r="C1736" s="242" t="s">
        <v>331</v>
      </c>
      <c r="D1736" s="242" t="s">
        <v>932</v>
      </c>
      <c r="E1736" s="242"/>
      <c r="F1736" s="243">
        <v>1675048.06</v>
      </c>
      <c r="G1736" s="243">
        <v>1674043.34</v>
      </c>
      <c r="H1736" s="243">
        <f t="shared" si="56"/>
        <v>99.94001843744114</v>
      </c>
      <c r="I1736" s="123" t="str">
        <f t="shared" si="55"/>
        <v>0106112006Б000</v>
      </c>
    </row>
    <row r="1737" spans="1:9" ht="63.75">
      <c r="A1737" s="241" t="s">
        <v>1318</v>
      </c>
      <c r="B1737" s="242" t="s">
        <v>208</v>
      </c>
      <c r="C1737" s="242" t="s">
        <v>331</v>
      </c>
      <c r="D1737" s="242" t="s">
        <v>932</v>
      </c>
      <c r="E1737" s="242" t="s">
        <v>273</v>
      </c>
      <c r="F1737" s="243">
        <v>1675048.06</v>
      </c>
      <c r="G1737" s="243">
        <v>1674043.34</v>
      </c>
      <c r="H1737" s="243">
        <f t="shared" si="56"/>
        <v>99.94001843744114</v>
      </c>
      <c r="I1737" s="123" t="str">
        <f t="shared" si="55"/>
        <v>0106112006Б000100</v>
      </c>
    </row>
    <row r="1738" spans="1:9" ht="25.5">
      <c r="A1738" s="241" t="s">
        <v>1203</v>
      </c>
      <c r="B1738" s="242" t="s">
        <v>208</v>
      </c>
      <c r="C1738" s="242" t="s">
        <v>331</v>
      </c>
      <c r="D1738" s="242" t="s">
        <v>932</v>
      </c>
      <c r="E1738" s="242" t="s">
        <v>28</v>
      </c>
      <c r="F1738" s="243">
        <v>1675048.06</v>
      </c>
      <c r="G1738" s="243">
        <v>1674043.34</v>
      </c>
      <c r="H1738" s="243">
        <f t="shared" si="56"/>
        <v>99.94001843744114</v>
      </c>
      <c r="I1738" s="123" t="str">
        <f t="shared" si="55"/>
        <v>0106112006Б000120</v>
      </c>
    </row>
    <row r="1739" spans="1:9" ht="25.5">
      <c r="A1739" s="241" t="s">
        <v>953</v>
      </c>
      <c r="B1739" s="242" t="s">
        <v>208</v>
      </c>
      <c r="C1739" s="242" t="s">
        <v>331</v>
      </c>
      <c r="D1739" s="242" t="s">
        <v>932</v>
      </c>
      <c r="E1739" s="242" t="s">
        <v>324</v>
      </c>
      <c r="F1739" s="243">
        <v>1295386.8600000001</v>
      </c>
      <c r="G1739" s="243">
        <v>1295084.8600000001</v>
      </c>
      <c r="H1739" s="243">
        <f t="shared" si="56"/>
        <v>99.976686501204753</v>
      </c>
      <c r="I1739" s="123" t="str">
        <f t="shared" si="55"/>
        <v>0106112006Б000121</v>
      </c>
    </row>
    <row r="1740" spans="1:9" ht="38.25">
      <c r="A1740" s="241" t="s">
        <v>1054</v>
      </c>
      <c r="B1740" s="242" t="s">
        <v>208</v>
      </c>
      <c r="C1740" s="242" t="s">
        <v>331</v>
      </c>
      <c r="D1740" s="242" t="s">
        <v>932</v>
      </c>
      <c r="E1740" s="242" t="s">
        <v>1055</v>
      </c>
      <c r="F1740" s="243">
        <v>379661.2</v>
      </c>
      <c r="G1740" s="243">
        <v>378958.48</v>
      </c>
      <c r="H1740" s="243">
        <f t="shared" si="56"/>
        <v>99.814908660669033</v>
      </c>
      <c r="I1740" s="123" t="str">
        <f t="shared" si="55"/>
        <v>0106112006Б000129</v>
      </c>
    </row>
    <row r="1741" spans="1:9" ht="51">
      <c r="A1741" s="241" t="s">
        <v>586</v>
      </c>
      <c r="B1741" s="242" t="s">
        <v>208</v>
      </c>
      <c r="C1741" s="242" t="s">
        <v>331</v>
      </c>
      <c r="D1741" s="242" t="s">
        <v>791</v>
      </c>
      <c r="E1741" s="242"/>
      <c r="F1741" s="243">
        <v>634779.27</v>
      </c>
      <c r="G1741" s="243">
        <v>494353.33</v>
      </c>
      <c r="H1741" s="243">
        <f t="shared" si="56"/>
        <v>77.877988989779084</v>
      </c>
      <c r="I1741" s="123" t="str">
        <f t="shared" si="55"/>
        <v>0106112006Г000</v>
      </c>
    </row>
    <row r="1742" spans="1:9" ht="25.5">
      <c r="A1742" s="241" t="s">
        <v>1319</v>
      </c>
      <c r="B1742" s="242" t="s">
        <v>208</v>
      </c>
      <c r="C1742" s="242" t="s">
        <v>331</v>
      </c>
      <c r="D1742" s="242" t="s">
        <v>791</v>
      </c>
      <c r="E1742" s="242" t="s">
        <v>1320</v>
      </c>
      <c r="F1742" s="243">
        <v>634779.27</v>
      </c>
      <c r="G1742" s="243">
        <v>494353.33</v>
      </c>
      <c r="H1742" s="243">
        <f t="shared" si="56"/>
        <v>77.877988989779084</v>
      </c>
      <c r="I1742" s="123" t="str">
        <f t="shared" si="55"/>
        <v>0106112006Г000200</v>
      </c>
    </row>
    <row r="1743" spans="1:9" ht="25.5">
      <c r="A1743" s="241" t="s">
        <v>1196</v>
      </c>
      <c r="B1743" s="242" t="s">
        <v>208</v>
      </c>
      <c r="C1743" s="242" t="s">
        <v>331</v>
      </c>
      <c r="D1743" s="242" t="s">
        <v>791</v>
      </c>
      <c r="E1743" s="242" t="s">
        <v>1197</v>
      </c>
      <c r="F1743" s="243">
        <v>634779.27</v>
      </c>
      <c r="G1743" s="243">
        <v>494353.33</v>
      </c>
      <c r="H1743" s="243">
        <f t="shared" si="56"/>
        <v>77.877988989779084</v>
      </c>
      <c r="I1743" s="123" t="str">
        <f t="shared" si="55"/>
        <v>0106112006Г000240</v>
      </c>
    </row>
    <row r="1744" spans="1:9">
      <c r="A1744" s="241" t="s">
        <v>1223</v>
      </c>
      <c r="B1744" s="242" t="s">
        <v>208</v>
      </c>
      <c r="C1744" s="242" t="s">
        <v>331</v>
      </c>
      <c r="D1744" s="242" t="s">
        <v>791</v>
      </c>
      <c r="E1744" s="242" t="s">
        <v>329</v>
      </c>
      <c r="F1744" s="243">
        <v>30782.07</v>
      </c>
      <c r="G1744" s="243">
        <v>8133.37</v>
      </c>
      <c r="H1744" s="243">
        <f t="shared" si="56"/>
        <v>26.422427081739468</v>
      </c>
      <c r="I1744" s="123" t="str">
        <f t="shared" si="55"/>
        <v>0106112006Г000244</v>
      </c>
    </row>
    <row r="1745" spans="1:9">
      <c r="A1745" s="241" t="s">
        <v>1699</v>
      </c>
      <c r="B1745" s="242" t="s">
        <v>208</v>
      </c>
      <c r="C1745" s="242" t="s">
        <v>331</v>
      </c>
      <c r="D1745" s="242" t="s">
        <v>791</v>
      </c>
      <c r="E1745" s="242" t="s">
        <v>1700</v>
      </c>
      <c r="F1745" s="243">
        <v>603997.19999999995</v>
      </c>
      <c r="G1745" s="243">
        <v>486219.96</v>
      </c>
      <c r="H1745" s="243">
        <f t="shared" si="56"/>
        <v>80.500366557990674</v>
      </c>
      <c r="I1745" s="123" t="str">
        <f t="shared" si="55"/>
        <v>0106112006Г000247</v>
      </c>
    </row>
    <row r="1746" spans="1:9" ht="63.75">
      <c r="A1746" s="241" t="s">
        <v>1855</v>
      </c>
      <c r="B1746" s="242" t="s">
        <v>208</v>
      </c>
      <c r="C1746" s="242" t="s">
        <v>331</v>
      </c>
      <c r="D1746" s="242" t="s">
        <v>1856</v>
      </c>
      <c r="E1746" s="242"/>
      <c r="F1746" s="243">
        <v>5525</v>
      </c>
      <c r="G1746" s="243">
        <v>5475.2</v>
      </c>
      <c r="H1746" s="243">
        <f t="shared" si="56"/>
        <v>99.098642533936641</v>
      </c>
      <c r="I1746" s="123" t="str">
        <f t="shared" si="55"/>
        <v>0106112006М000</v>
      </c>
    </row>
    <row r="1747" spans="1:9" ht="25.5">
      <c r="A1747" s="241" t="s">
        <v>1319</v>
      </c>
      <c r="B1747" s="242" t="s">
        <v>208</v>
      </c>
      <c r="C1747" s="242" t="s">
        <v>331</v>
      </c>
      <c r="D1747" s="242" t="s">
        <v>1856</v>
      </c>
      <c r="E1747" s="242" t="s">
        <v>1320</v>
      </c>
      <c r="F1747" s="243">
        <v>5525</v>
      </c>
      <c r="G1747" s="243">
        <v>5475.2</v>
      </c>
      <c r="H1747" s="243">
        <f t="shared" si="56"/>
        <v>99.098642533936641</v>
      </c>
      <c r="I1747" s="123" t="str">
        <f t="shared" si="55"/>
        <v>0106112006М000200</v>
      </c>
    </row>
    <row r="1748" spans="1:9" ht="25.5">
      <c r="A1748" s="241" t="s">
        <v>1196</v>
      </c>
      <c r="B1748" s="242" t="s">
        <v>208</v>
      </c>
      <c r="C1748" s="242" t="s">
        <v>331</v>
      </c>
      <c r="D1748" s="242" t="s">
        <v>1856</v>
      </c>
      <c r="E1748" s="242" t="s">
        <v>1197</v>
      </c>
      <c r="F1748" s="243">
        <v>5525</v>
      </c>
      <c r="G1748" s="243">
        <v>5475.2</v>
      </c>
      <c r="H1748" s="243">
        <f t="shared" si="56"/>
        <v>99.098642533936641</v>
      </c>
      <c r="I1748" s="123" t="str">
        <f t="shared" si="55"/>
        <v>0106112006М000240</v>
      </c>
    </row>
    <row r="1749" spans="1:9">
      <c r="A1749" s="241" t="s">
        <v>1223</v>
      </c>
      <c r="B1749" s="242" t="s">
        <v>208</v>
      </c>
      <c r="C1749" s="242" t="s">
        <v>331</v>
      </c>
      <c r="D1749" s="242" t="s">
        <v>1856</v>
      </c>
      <c r="E1749" s="242" t="s">
        <v>329</v>
      </c>
      <c r="F1749" s="243">
        <v>5525</v>
      </c>
      <c r="G1749" s="243">
        <v>5475.2</v>
      </c>
      <c r="H1749" s="243">
        <f t="shared" si="56"/>
        <v>99.098642533936641</v>
      </c>
      <c r="I1749" s="123" t="str">
        <f t="shared" si="55"/>
        <v>0106112006М000244</v>
      </c>
    </row>
    <row r="1750" spans="1:9" ht="51">
      <c r="A1750" s="241" t="s">
        <v>2260</v>
      </c>
      <c r="B1750" s="242" t="s">
        <v>208</v>
      </c>
      <c r="C1750" s="242" t="s">
        <v>331</v>
      </c>
      <c r="D1750" s="242" t="s">
        <v>2261</v>
      </c>
      <c r="E1750" s="242"/>
      <c r="F1750" s="243">
        <v>6100</v>
      </c>
      <c r="G1750" s="243">
        <v>6100</v>
      </c>
      <c r="H1750" s="243">
        <f t="shared" si="56"/>
        <v>100</v>
      </c>
      <c r="I1750" s="123" t="str">
        <f t="shared" si="55"/>
        <v>0106112006Ф000</v>
      </c>
    </row>
    <row r="1751" spans="1:9" ht="25.5">
      <c r="A1751" s="241" t="s">
        <v>1319</v>
      </c>
      <c r="B1751" s="242" t="s">
        <v>208</v>
      </c>
      <c r="C1751" s="242" t="s">
        <v>331</v>
      </c>
      <c r="D1751" s="242" t="s">
        <v>2261</v>
      </c>
      <c r="E1751" s="242" t="s">
        <v>1320</v>
      </c>
      <c r="F1751" s="243">
        <v>6100</v>
      </c>
      <c r="G1751" s="243">
        <v>6100</v>
      </c>
      <c r="H1751" s="243">
        <f t="shared" si="56"/>
        <v>100</v>
      </c>
      <c r="I1751" s="123" t="str">
        <f t="shared" si="55"/>
        <v>0106112006Ф000200</v>
      </c>
    </row>
    <row r="1752" spans="1:9" ht="25.5">
      <c r="A1752" s="241" t="s">
        <v>1196</v>
      </c>
      <c r="B1752" s="242" t="s">
        <v>208</v>
      </c>
      <c r="C1752" s="242" t="s">
        <v>331</v>
      </c>
      <c r="D1752" s="242" t="s">
        <v>2261</v>
      </c>
      <c r="E1752" s="242" t="s">
        <v>1197</v>
      </c>
      <c r="F1752" s="243">
        <v>6100</v>
      </c>
      <c r="G1752" s="243">
        <v>6100</v>
      </c>
      <c r="H1752" s="243">
        <f t="shared" si="56"/>
        <v>100</v>
      </c>
      <c r="I1752" s="123" t="str">
        <f t="shared" si="55"/>
        <v>0106112006Ф000240</v>
      </c>
    </row>
    <row r="1753" spans="1:9">
      <c r="A1753" s="241" t="s">
        <v>1223</v>
      </c>
      <c r="B1753" s="242" t="s">
        <v>208</v>
      </c>
      <c r="C1753" s="242" t="s">
        <v>331</v>
      </c>
      <c r="D1753" s="242" t="s">
        <v>2261</v>
      </c>
      <c r="E1753" s="242" t="s">
        <v>329</v>
      </c>
      <c r="F1753" s="243">
        <v>6100</v>
      </c>
      <c r="G1753" s="243">
        <v>6100</v>
      </c>
      <c r="H1753" s="243">
        <f t="shared" si="56"/>
        <v>100</v>
      </c>
      <c r="I1753" s="123" t="str">
        <f t="shared" si="55"/>
        <v>0106112006Ф000244</v>
      </c>
    </row>
    <row r="1754" spans="1:9" ht="51">
      <c r="A1754" s="241" t="s">
        <v>969</v>
      </c>
      <c r="B1754" s="242" t="s">
        <v>208</v>
      </c>
      <c r="C1754" s="242" t="s">
        <v>331</v>
      </c>
      <c r="D1754" s="242" t="s">
        <v>970</v>
      </c>
      <c r="E1754" s="242"/>
      <c r="F1754" s="243">
        <v>205348</v>
      </c>
      <c r="G1754" s="243">
        <v>190934.62</v>
      </c>
      <c r="H1754" s="243">
        <f t="shared" si="56"/>
        <v>92.980998110524567</v>
      </c>
      <c r="I1754" s="123" t="str">
        <f t="shared" si="55"/>
        <v>0106112006Э000</v>
      </c>
    </row>
    <row r="1755" spans="1:9" ht="25.5">
      <c r="A1755" s="241" t="s">
        <v>1319</v>
      </c>
      <c r="B1755" s="242" t="s">
        <v>208</v>
      </c>
      <c r="C1755" s="242" t="s">
        <v>331</v>
      </c>
      <c r="D1755" s="242" t="s">
        <v>970</v>
      </c>
      <c r="E1755" s="242" t="s">
        <v>1320</v>
      </c>
      <c r="F1755" s="243">
        <v>205348</v>
      </c>
      <c r="G1755" s="243">
        <v>190934.62</v>
      </c>
      <c r="H1755" s="243">
        <f t="shared" si="56"/>
        <v>92.980998110524567</v>
      </c>
      <c r="I1755" s="123" t="str">
        <f t="shared" si="55"/>
        <v>0106112006Э000200</v>
      </c>
    </row>
    <row r="1756" spans="1:9" ht="25.5">
      <c r="A1756" s="241" t="s">
        <v>1196</v>
      </c>
      <c r="B1756" s="242" t="s">
        <v>208</v>
      </c>
      <c r="C1756" s="242" t="s">
        <v>331</v>
      </c>
      <c r="D1756" s="242" t="s">
        <v>970</v>
      </c>
      <c r="E1756" s="242" t="s">
        <v>1197</v>
      </c>
      <c r="F1756" s="243">
        <v>205348</v>
      </c>
      <c r="G1756" s="243">
        <v>190934.62</v>
      </c>
      <c r="H1756" s="243">
        <f t="shared" si="56"/>
        <v>92.980998110524567</v>
      </c>
      <c r="I1756" s="123" t="str">
        <f t="shared" si="55"/>
        <v>0106112006Э000240</v>
      </c>
    </row>
    <row r="1757" spans="1:9">
      <c r="A1757" s="241" t="s">
        <v>1699</v>
      </c>
      <c r="B1757" s="242" t="s">
        <v>208</v>
      </c>
      <c r="C1757" s="242" t="s">
        <v>331</v>
      </c>
      <c r="D1757" s="242" t="s">
        <v>970</v>
      </c>
      <c r="E1757" s="242" t="s">
        <v>1700</v>
      </c>
      <c r="F1757" s="243">
        <v>205348</v>
      </c>
      <c r="G1757" s="243">
        <v>190934.62</v>
      </c>
      <c r="H1757" s="243">
        <f t="shared" si="56"/>
        <v>92.980998110524567</v>
      </c>
      <c r="I1757" s="123" t="str">
        <f t="shared" si="55"/>
        <v>0106112006Э000247</v>
      </c>
    </row>
    <row r="1758" spans="1:9" ht="63.75">
      <c r="A1758" s="241" t="s">
        <v>536</v>
      </c>
      <c r="B1758" s="242" t="s">
        <v>208</v>
      </c>
      <c r="C1758" s="242" t="s">
        <v>331</v>
      </c>
      <c r="D1758" s="242" t="s">
        <v>792</v>
      </c>
      <c r="E1758" s="242"/>
      <c r="F1758" s="243">
        <v>709547</v>
      </c>
      <c r="G1758" s="243">
        <v>709547</v>
      </c>
      <c r="H1758" s="243">
        <f t="shared" si="56"/>
        <v>100</v>
      </c>
      <c r="I1758" s="123" t="str">
        <f t="shared" si="55"/>
        <v>010611200Ч0060</v>
      </c>
    </row>
    <row r="1759" spans="1:9" ht="63.75">
      <c r="A1759" s="241" t="s">
        <v>1318</v>
      </c>
      <c r="B1759" s="242" t="s">
        <v>208</v>
      </c>
      <c r="C1759" s="242" t="s">
        <v>331</v>
      </c>
      <c r="D1759" s="242" t="s">
        <v>792</v>
      </c>
      <c r="E1759" s="242" t="s">
        <v>273</v>
      </c>
      <c r="F1759" s="243">
        <v>709547</v>
      </c>
      <c r="G1759" s="243">
        <v>709547</v>
      </c>
      <c r="H1759" s="243">
        <f t="shared" si="56"/>
        <v>100</v>
      </c>
      <c r="I1759" s="123" t="str">
        <f t="shared" si="55"/>
        <v>010611200Ч0060100</v>
      </c>
    </row>
    <row r="1760" spans="1:9" ht="25.5">
      <c r="A1760" s="241" t="s">
        <v>1203</v>
      </c>
      <c r="B1760" s="242" t="s">
        <v>208</v>
      </c>
      <c r="C1760" s="242" t="s">
        <v>331</v>
      </c>
      <c r="D1760" s="242" t="s">
        <v>792</v>
      </c>
      <c r="E1760" s="242" t="s">
        <v>28</v>
      </c>
      <c r="F1760" s="243">
        <v>709547</v>
      </c>
      <c r="G1760" s="243">
        <v>709547</v>
      </c>
      <c r="H1760" s="243">
        <f t="shared" si="56"/>
        <v>100</v>
      </c>
      <c r="I1760" s="123" t="str">
        <f t="shared" si="55"/>
        <v>010611200Ч0060120</v>
      </c>
    </row>
    <row r="1761" spans="1:9" ht="25.5">
      <c r="A1761" s="241" t="s">
        <v>953</v>
      </c>
      <c r="B1761" s="242" t="s">
        <v>208</v>
      </c>
      <c r="C1761" s="242" t="s">
        <v>331</v>
      </c>
      <c r="D1761" s="242" t="s">
        <v>792</v>
      </c>
      <c r="E1761" s="242" t="s">
        <v>324</v>
      </c>
      <c r="F1761" s="243">
        <v>544967</v>
      </c>
      <c r="G1761" s="243">
        <v>544967</v>
      </c>
      <c r="H1761" s="243">
        <f t="shared" si="56"/>
        <v>100</v>
      </c>
      <c r="I1761" s="123" t="str">
        <f t="shared" si="55"/>
        <v>010611200Ч0060121</v>
      </c>
    </row>
    <row r="1762" spans="1:9" ht="38.25">
      <c r="A1762" s="241" t="s">
        <v>1054</v>
      </c>
      <c r="B1762" s="242" t="s">
        <v>208</v>
      </c>
      <c r="C1762" s="242" t="s">
        <v>331</v>
      </c>
      <c r="D1762" s="242" t="s">
        <v>792</v>
      </c>
      <c r="E1762" s="242" t="s">
        <v>1055</v>
      </c>
      <c r="F1762" s="243">
        <v>164580</v>
      </c>
      <c r="G1762" s="243">
        <v>164580</v>
      </c>
      <c r="H1762" s="243">
        <f t="shared" si="56"/>
        <v>100</v>
      </c>
      <c r="I1762" s="123" t="str">
        <f t="shared" si="55"/>
        <v>010611200Ч0060129</v>
      </c>
    </row>
    <row r="1763" spans="1:9" ht="89.25">
      <c r="A1763" s="241" t="s">
        <v>1372</v>
      </c>
      <c r="B1763" s="242" t="s">
        <v>208</v>
      </c>
      <c r="C1763" s="242" t="s">
        <v>331</v>
      </c>
      <c r="D1763" s="242" t="s">
        <v>1373</v>
      </c>
      <c r="E1763" s="242"/>
      <c r="F1763" s="243">
        <v>23000</v>
      </c>
      <c r="G1763" s="243">
        <v>23000</v>
      </c>
      <c r="H1763" s="243">
        <f t="shared" si="56"/>
        <v>100</v>
      </c>
      <c r="I1763" s="123" t="str">
        <f t="shared" si="55"/>
        <v>010611200Ч0070</v>
      </c>
    </row>
    <row r="1764" spans="1:9" ht="25.5">
      <c r="A1764" s="241" t="s">
        <v>1319</v>
      </c>
      <c r="B1764" s="242" t="s">
        <v>208</v>
      </c>
      <c r="C1764" s="242" t="s">
        <v>331</v>
      </c>
      <c r="D1764" s="242" t="s">
        <v>1373</v>
      </c>
      <c r="E1764" s="242" t="s">
        <v>1320</v>
      </c>
      <c r="F1764" s="243">
        <v>23000</v>
      </c>
      <c r="G1764" s="243">
        <v>23000</v>
      </c>
      <c r="H1764" s="243">
        <f t="shared" si="56"/>
        <v>100</v>
      </c>
      <c r="I1764" s="123" t="str">
        <f t="shared" ref="I1764:I1819" si="57">CONCATENATE(C1764,D1764,E1764)</f>
        <v>010611200Ч0070200</v>
      </c>
    </row>
    <row r="1765" spans="1:9" ht="25.5">
      <c r="A1765" s="241" t="s">
        <v>1196</v>
      </c>
      <c r="B1765" s="242" t="s">
        <v>208</v>
      </c>
      <c r="C1765" s="242" t="s">
        <v>331</v>
      </c>
      <c r="D1765" s="242" t="s">
        <v>1373</v>
      </c>
      <c r="E1765" s="242" t="s">
        <v>1197</v>
      </c>
      <c r="F1765" s="243">
        <v>23000</v>
      </c>
      <c r="G1765" s="243">
        <v>23000</v>
      </c>
      <c r="H1765" s="243">
        <f t="shared" si="56"/>
        <v>100</v>
      </c>
      <c r="I1765" s="123" t="str">
        <f t="shared" si="57"/>
        <v>010611200Ч0070240</v>
      </c>
    </row>
    <row r="1766" spans="1:9">
      <c r="A1766" s="241" t="s">
        <v>1223</v>
      </c>
      <c r="B1766" s="242" t="s">
        <v>208</v>
      </c>
      <c r="C1766" s="242" t="s">
        <v>331</v>
      </c>
      <c r="D1766" s="242" t="s">
        <v>1373</v>
      </c>
      <c r="E1766" s="242" t="s">
        <v>329</v>
      </c>
      <c r="F1766" s="243">
        <v>23000</v>
      </c>
      <c r="G1766" s="243">
        <v>23000</v>
      </c>
      <c r="H1766" s="243">
        <f t="shared" si="56"/>
        <v>100</v>
      </c>
      <c r="I1766" s="123" t="str">
        <f t="shared" si="57"/>
        <v>010611200Ч0070244</v>
      </c>
    </row>
    <row r="1767" spans="1:9">
      <c r="A1767" s="241" t="s">
        <v>60</v>
      </c>
      <c r="B1767" s="242" t="s">
        <v>208</v>
      </c>
      <c r="C1767" s="242" t="s">
        <v>426</v>
      </c>
      <c r="D1767" s="242"/>
      <c r="E1767" s="242"/>
      <c r="F1767" s="243">
        <v>1215323.6299999999</v>
      </c>
      <c r="G1767" s="243">
        <v>0</v>
      </c>
      <c r="H1767" s="243">
        <f t="shared" si="56"/>
        <v>0</v>
      </c>
      <c r="I1767" s="123" t="str">
        <f t="shared" si="57"/>
        <v>0111</v>
      </c>
    </row>
    <row r="1768" spans="1:9" ht="25.5">
      <c r="A1768" s="241" t="s">
        <v>601</v>
      </c>
      <c r="B1768" s="242" t="s">
        <v>208</v>
      </c>
      <c r="C1768" s="242" t="s">
        <v>426</v>
      </c>
      <c r="D1768" s="242" t="s">
        <v>1011</v>
      </c>
      <c r="E1768" s="242"/>
      <c r="F1768" s="243">
        <v>1215323.6299999999</v>
      </c>
      <c r="G1768" s="243">
        <v>0</v>
      </c>
      <c r="H1768" s="243">
        <f t="shared" si="56"/>
        <v>0</v>
      </c>
      <c r="I1768" s="123" t="str">
        <f t="shared" si="57"/>
        <v>01119000000000</v>
      </c>
    </row>
    <row r="1769" spans="1:9" ht="38.25">
      <c r="A1769" s="241" t="s">
        <v>427</v>
      </c>
      <c r="B1769" s="242" t="s">
        <v>208</v>
      </c>
      <c r="C1769" s="242" t="s">
        <v>426</v>
      </c>
      <c r="D1769" s="242" t="s">
        <v>1012</v>
      </c>
      <c r="E1769" s="242"/>
      <c r="F1769" s="243">
        <v>1215323.6299999999</v>
      </c>
      <c r="G1769" s="243">
        <v>0</v>
      </c>
      <c r="H1769" s="243">
        <f t="shared" si="56"/>
        <v>0</v>
      </c>
      <c r="I1769" s="123" t="str">
        <f t="shared" si="57"/>
        <v>01119010000000</v>
      </c>
    </row>
    <row r="1770" spans="1:9" ht="38.25">
      <c r="A1770" s="241" t="s">
        <v>427</v>
      </c>
      <c r="B1770" s="242" t="s">
        <v>208</v>
      </c>
      <c r="C1770" s="242" t="s">
        <v>426</v>
      </c>
      <c r="D1770" s="242" t="s">
        <v>793</v>
      </c>
      <c r="E1770" s="242"/>
      <c r="F1770" s="243">
        <v>1215323.6299999999</v>
      </c>
      <c r="G1770" s="243">
        <v>0</v>
      </c>
      <c r="H1770" s="243">
        <f t="shared" si="56"/>
        <v>0</v>
      </c>
      <c r="I1770" s="123" t="str">
        <f t="shared" si="57"/>
        <v>01119010080000</v>
      </c>
    </row>
    <row r="1771" spans="1:9">
      <c r="A1771" s="241" t="s">
        <v>1321</v>
      </c>
      <c r="B1771" s="242" t="s">
        <v>208</v>
      </c>
      <c r="C1771" s="242" t="s">
        <v>426</v>
      </c>
      <c r="D1771" s="242" t="s">
        <v>793</v>
      </c>
      <c r="E1771" s="242" t="s">
        <v>1322</v>
      </c>
      <c r="F1771" s="243">
        <v>1215323.6299999999</v>
      </c>
      <c r="G1771" s="243">
        <v>0</v>
      </c>
      <c r="H1771" s="243">
        <f t="shared" si="56"/>
        <v>0</v>
      </c>
      <c r="I1771" s="123" t="str">
        <f t="shared" si="57"/>
        <v>01119010080000800</v>
      </c>
    </row>
    <row r="1772" spans="1:9">
      <c r="A1772" s="241" t="s">
        <v>428</v>
      </c>
      <c r="B1772" s="242" t="s">
        <v>208</v>
      </c>
      <c r="C1772" s="242" t="s">
        <v>426</v>
      </c>
      <c r="D1772" s="242" t="s">
        <v>793</v>
      </c>
      <c r="E1772" s="242" t="s">
        <v>429</v>
      </c>
      <c r="F1772" s="243">
        <v>1215323.6299999999</v>
      </c>
      <c r="G1772" s="243">
        <v>0</v>
      </c>
      <c r="H1772" s="243">
        <f t="shared" si="56"/>
        <v>0</v>
      </c>
      <c r="I1772" s="123" t="str">
        <f t="shared" si="57"/>
        <v>01119010080000870</v>
      </c>
    </row>
    <row r="1773" spans="1:9">
      <c r="A1773" s="241" t="s">
        <v>217</v>
      </c>
      <c r="B1773" s="242" t="s">
        <v>208</v>
      </c>
      <c r="C1773" s="242" t="s">
        <v>337</v>
      </c>
      <c r="D1773" s="242"/>
      <c r="E1773" s="242"/>
      <c r="F1773" s="243">
        <v>311600</v>
      </c>
      <c r="G1773" s="243">
        <v>311600</v>
      </c>
      <c r="H1773" s="243">
        <f t="shared" si="56"/>
        <v>100</v>
      </c>
      <c r="I1773" s="123" t="str">
        <f t="shared" si="57"/>
        <v>0113</v>
      </c>
    </row>
    <row r="1774" spans="1:9" ht="25.5">
      <c r="A1774" s="241" t="s">
        <v>1371</v>
      </c>
      <c r="B1774" s="242" t="s">
        <v>208</v>
      </c>
      <c r="C1774" s="242" t="s">
        <v>337</v>
      </c>
      <c r="D1774" s="242" t="s">
        <v>999</v>
      </c>
      <c r="E1774" s="242"/>
      <c r="F1774" s="243">
        <v>311600</v>
      </c>
      <c r="G1774" s="243">
        <v>311600</v>
      </c>
      <c r="H1774" s="243">
        <f t="shared" si="56"/>
        <v>100</v>
      </c>
      <c r="I1774" s="123" t="str">
        <f t="shared" si="57"/>
        <v>01131100000000</v>
      </c>
    </row>
    <row r="1775" spans="1:9" ht="51">
      <c r="A1775" s="241" t="s">
        <v>1374</v>
      </c>
      <c r="B1775" s="242" t="s">
        <v>208</v>
      </c>
      <c r="C1775" s="242" t="s">
        <v>337</v>
      </c>
      <c r="D1775" s="242" t="s">
        <v>1000</v>
      </c>
      <c r="E1775" s="242"/>
      <c r="F1775" s="243">
        <v>311600</v>
      </c>
      <c r="G1775" s="243">
        <v>311600</v>
      </c>
      <c r="H1775" s="243">
        <f t="shared" si="56"/>
        <v>100</v>
      </c>
      <c r="I1775" s="123" t="str">
        <f t="shared" si="57"/>
        <v>01131110000000</v>
      </c>
    </row>
    <row r="1776" spans="1:9" ht="114.75">
      <c r="A1776" s="241" t="s">
        <v>1479</v>
      </c>
      <c r="B1776" s="242" t="s">
        <v>208</v>
      </c>
      <c r="C1776" s="242" t="s">
        <v>337</v>
      </c>
      <c r="D1776" s="242" t="s">
        <v>794</v>
      </c>
      <c r="E1776" s="242"/>
      <c r="F1776" s="243">
        <v>311600</v>
      </c>
      <c r="G1776" s="243">
        <v>311600</v>
      </c>
      <c r="H1776" s="243">
        <f t="shared" si="56"/>
        <v>100</v>
      </c>
      <c r="I1776" s="123" t="str">
        <f t="shared" si="57"/>
        <v>01131110075140</v>
      </c>
    </row>
    <row r="1777" spans="1:9">
      <c r="A1777" s="241" t="s">
        <v>1329</v>
      </c>
      <c r="B1777" s="242" t="s">
        <v>208</v>
      </c>
      <c r="C1777" s="242" t="s">
        <v>337</v>
      </c>
      <c r="D1777" s="242" t="s">
        <v>794</v>
      </c>
      <c r="E1777" s="242" t="s">
        <v>1330</v>
      </c>
      <c r="F1777" s="243">
        <v>311600</v>
      </c>
      <c r="G1777" s="243">
        <v>311600</v>
      </c>
      <c r="H1777" s="243">
        <f t="shared" si="56"/>
        <v>100</v>
      </c>
      <c r="I1777" s="123" t="str">
        <f t="shared" si="57"/>
        <v>01131110075140500</v>
      </c>
    </row>
    <row r="1778" spans="1:9">
      <c r="A1778" s="241" t="s">
        <v>434</v>
      </c>
      <c r="B1778" s="242" t="s">
        <v>208</v>
      </c>
      <c r="C1778" s="242" t="s">
        <v>337</v>
      </c>
      <c r="D1778" s="242" t="s">
        <v>794</v>
      </c>
      <c r="E1778" s="242" t="s">
        <v>435</v>
      </c>
      <c r="F1778" s="243">
        <v>311600</v>
      </c>
      <c r="G1778" s="243">
        <v>311600</v>
      </c>
      <c r="H1778" s="243">
        <f t="shared" si="56"/>
        <v>100</v>
      </c>
      <c r="I1778" s="123" t="str">
        <f t="shared" si="57"/>
        <v>01131110075140530</v>
      </c>
    </row>
    <row r="1779" spans="1:9">
      <c r="A1779" s="241" t="s">
        <v>187</v>
      </c>
      <c r="B1779" s="242" t="s">
        <v>208</v>
      </c>
      <c r="C1779" s="242" t="s">
        <v>1154</v>
      </c>
      <c r="D1779" s="242"/>
      <c r="E1779" s="242"/>
      <c r="F1779" s="243">
        <v>5647725.2999999998</v>
      </c>
      <c r="G1779" s="243">
        <v>5611837.9299999997</v>
      </c>
      <c r="H1779" s="243">
        <f t="shared" si="56"/>
        <v>99.364569484284232</v>
      </c>
      <c r="I1779" s="123" t="str">
        <f t="shared" si="57"/>
        <v>0200</v>
      </c>
    </row>
    <row r="1780" spans="1:9">
      <c r="A1780" s="241" t="s">
        <v>188</v>
      </c>
      <c r="B1780" s="242" t="s">
        <v>208</v>
      </c>
      <c r="C1780" s="242" t="s">
        <v>433</v>
      </c>
      <c r="D1780" s="242"/>
      <c r="E1780" s="242"/>
      <c r="F1780" s="243">
        <v>5647725.2999999998</v>
      </c>
      <c r="G1780" s="243">
        <v>5611837.9299999997</v>
      </c>
      <c r="H1780" s="243">
        <f t="shared" si="56"/>
        <v>99.364569484284232</v>
      </c>
      <c r="I1780" s="123" t="str">
        <f t="shared" si="57"/>
        <v>0203</v>
      </c>
    </row>
    <row r="1781" spans="1:9" ht="25.5">
      <c r="A1781" s="241" t="s">
        <v>1371</v>
      </c>
      <c r="B1781" s="242" t="s">
        <v>208</v>
      </c>
      <c r="C1781" s="242" t="s">
        <v>433</v>
      </c>
      <c r="D1781" s="242" t="s">
        <v>999</v>
      </c>
      <c r="E1781" s="242"/>
      <c r="F1781" s="243">
        <v>5647725.2999999998</v>
      </c>
      <c r="G1781" s="243">
        <v>5611837.9299999997</v>
      </c>
      <c r="H1781" s="243">
        <f t="shared" si="56"/>
        <v>99.364569484284232</v>
      </c>
      <c r="I1781" s="123" t="str">
        <f t="shared" si="57"/>
        <v>02031100000000</v>
      </c>
    </row>
    <row r="1782" spans="1:9" ht="51">
      <c r="A1782" s="241" t="s">
        <v>1374</v>
      </c>
      <c r="B1782" s="242" t="s">
        <v>208</v>
      </c>
      <c r="C1782" s="242" t="s">
        <v>433</v>
      </c>
      <c r="D1782" s="242" t="s">
        <v>1000</v>
      </c>
      <c r="E1782" s="242"/>
      <c r="F1782" s="243">
        <v>5647725.2999999998</v>
      </c>
      <c r="G1782" s="243">
        <v>5611837.9299999997</v>
      </c>
      <c r="H1782" s="243">
        <f t="shared" si="56"/>
        <v>99.364569484284232</v>
      </c>
      <c r="I1782" s="123" t="str">
        <f t="shared" si="57"/>
        <v>02031110000000</v>
      </c>
    </row>
    <row r="1783" spans="1:9" ht="102">
      <c r="A1783" s="241" t="s">
        <v>1964</v>
      </c>
      <c r="B1783" s="242" t="s">
        <v>208</v>
      </c>
      <c r="C1783" s="242" t="s">
        <v>433</v>
      </c>
      <c r="D1783" s="242" t="s">
        <v>796</v>
      </c>
      <c r="E1783" s="242"/>
      <c r="F1783" s="243">
        <v>5647725.2999999998</v>
      </c>
      <c r="G1783" s="243">
        <v>5611837.9299999997</v>
      </c>
      <c r="H1783" s="243">
        <f t="shared" si="56"/>
        <v>99.364569484284232</v>
      </c>
      <c r="I1783" s="123" t="str">
        <f t="shared" si="57"/>
        <v>02031110051180</v>
      </c>
    </row>
    <row r="1784" spans="1:9">
      <c r="A1784" s="241" t="s">
        <v>1329</v>
      </c>
      <c r="B1784" s="242" t="s">
        <v>208</v>
      </c>
      <c r="C1784" s="242" t="s">
        <v>433</v>
      </c>
      <c r="D1784" s="242" t="s">
        <v>796</v>
      </c>
      <c r="E1784" s="242" t="s">
        <v>1330</v>
      </c>
      <c r="F1784" s="243">
        <v>5647725.2999999998</v>
      </c>
      <c r="G1784" s="243">
        <v>5611837.9299999997</v>
      </c>
      <c r="H1784" s="243">
        <f t="shared" si="56"/>
        <v>99.364569484284232</v>
      </c>
      <c r="I1784" s="123" t="str">
        <f t="shared" si="57"/>
        <v>02031110051180500</v>
      </c>
    </row>
    <row r="1785" spans="1:9">
      <c r="A1785" s="241" t="s">
        <v>434</v>
      </c>
      <c r="B1785" s="242" t="s">
        <v>208</v>
      </c>
      <c r="C1785" s="242" t="s">
        <v>433</v>
      </c>
      <c r="D1785" s="242" t="s">
        <v>796</v>
      </c>
      <c r="E1785" s="242" t="s">
        <v>435</v>
      </c>
      <c r="F1785" s="243">
        <v>5647725.2999999998</v>
      </c>
      <c r="G1785" s="243">
        <v>5611837.9299999997</v>
      </c>
      <c r="H1785" s="243">
        <f t="shared" si="56"/>
        <v>99.364569484284232</v>
      </c>
      <c r="I1785" s="123" t="str">
        <f t="shared" si="57"/>
        <v>02031110051180530</v>
      </c>
    </row>
    <row r="1786" spans="1:9" ht="25.5">
      <c r="A1786" s="241" t="s">
        <v>238</v>
      </c>
      <c r="B1786" s="242" t="s">
        <v>208</v>
      </c>
      <c r="C1786" s="242" t="s">
        <v>1137</v>
      </c>
      <c r="D1786" s="242"/>
      <c r="E1786" s="242"/>
      <c r="F1786" s="243">
        <v>4102500</v>
      </c>
      <c r="G1786" s="243">
        <v>4102500</v>
      </c>
      <c r="H1786" s="243">
        <f t="shared" si="56"/>
        <v>100</v>
      </c>
      <c r="I1786" s="123" t="str">
        <f t="shared" si="57"/>
        <v>0300</v>
      </c>
    </row>
    <row r="1787" spans="1:9" ht="38.25">
      <c r="A1787" s="241" t="s">
        <v>1705</v>
      </c>
      <c r="B1787" s="242" t="s">
        <v>208</v>
      </c>
      <c r="C1787" s="242" t="s">
        <v>345</v>
      </c>
      <c r="D1787" s="242"/>
      <c r="E1787" s="242"/>
      <c r="F1787" s="243">
        <v>4102500</v>
      </c>
      <c r="G1787" s="243">
        <v>4102500</v>
      </c>
      <c r="H1787" s="243">
        <f t="shared" si="56"/>
        <v>100</v>
      </c>
      <c r="I1787" s="123" t="str">
        <f t="shared" si="57"/>
        <v>0310</v>
      </c>
    </row>
    <row r="1788" spans="1:9" ht="51">
      <c r="A1788" s="241" t="s">
        <v>1751</v>
      </c>
      <c r="B1788" s="242" t="s">
        <v>208</v>
      </c>
      <c r="C1788" s="242" t="s">
        <v>345</v>
      </c>
      <c r="D1788" s="242" t="s">
        <v>978</v>
      </c>
      <c r="E1788" s="242"/>
      <c r="F1788" s="243">
        <v>4102500</v>
      </c>
      <c r="G1788" s="243">
        <v>4102500</v>
      </c>
      <c r="H1788" s="243">
        <f t="shared" si="56"/>
        <v>100</v>
      </c>
      <c r="I1788" s="123" t="str">
        <f t="shared" si="57"/>
        <v>03100400000000</v>
      </c>
    </row>
    <row r="1789" spans="1:9" ht="25.5">
      <c r="A1789" s="241" t="s">
        <v>459</v>
      </c>
      <c r="B1789" s="242" t="s">
        <v>208</v>
      </c>
      <c r="C1789" s="242" t="s">
        <v>345</v>
      </c>
      <c r="D1789" s="242" t="s">
        <v>980</v>
      </c>
      <c r="E1789" s="242"/>
      <c r="F1789" s="243">
        <v>4102500</v>
      </c>
      <c r="G1789" s="243">
        <v>4102500</v>
      </c>
      <c r="H1789" s="243">
        <f t="shared" si="56"/>
        <v>100</v>
      </c>
      <c r="I1789" s="123" t="str">
        <f t="shared" si="57"/>
        <v>03100420000000</v>
      </c>
    </row>
    <row r="1790" spans="1:9" ht="102">
      <c r="A1790" s="241" t="s">
        <v>2112</v>
      </c>
      <c r="B1790" s="242" t="s">
        <v>208</v>
      </c>
      <c r="C1790" s="242" t="s">
        <v>345</v>
      </c>
      <c r="D1790" s="242" t="s">
        <v>1224</v>
      </c>
      <c r="E1790" s="242"/>
      <c r="F1790" s="243">
        <v>4102500</v>
      </c>
      <c r="G1790" s="243">
        <v>4102500</v>
      </c>
      <c r="H1790" s="243">
        <f t="shared" si="56"/>
        <v>100</v>
      </c>
      <c r="I1790" s="123" t="str">
        <f t="shared" si="57"/>
        <v>031004200S4120</v>
      </c>
    </row>
    <row r="1791" spans="1:9">
      <c r="A1791" s="241" t="s">
        <v>1329</v>
      </c>
      <c r="B1791" s="242" t="s">
        <v>208</v>
      </c>
      <c r="C1791" s="242" t="s">
        <v>345</v>
      </c>
      <c r="D1791" s="242" t="s">
        <v>1224</v>
      </c>
      <c r="E1791" s="242" t="s">
        <v>1330</v>
      </c>
      <c r="F1791" s="243">
        <v>4102500</v>
      </c>
      <c r="G1791" s="243">
        <v>4102500</v>
      </c>
      <c r="H1791" s="243">
        <f t="shared" si="56"/>
        <v>100</v>
      </c>
      <c r="I1791" s="123" t="str">
        <f t="shared" si="57"/>
        <v>031004200S4120500</v>
      </c>
    </row>
    <row r="1792" spans="1:9">
      <c r="A1792" s="241" t="s">
        <v>68</v>
      </c>
      <c r="B1792" s="242" t="s">
        <v>208</v>
      </c>
      <c r="C1792" s="242" t="s">
        <v>345</v>
      </c>
      <c r="D1792" s="242" t="s">
        <v>1224</v>
      </c>
      <c r="E1792" s="242" t="s">
        <v>430</v>
      </c>
      <c r="F1792" s="243">
        <v>4102500</v>
      </c>
      <c r="G1792" s="243">
        <v>4102500</v>
      </c>
      <c r="H1792" s="243">
        <f t="shared" ref="H1792:H1848" si="58">G1792/F1792*100</f>
        <v>100</v>
      </c>
      <c r="I1792" s="123" t="str">
        <f t="shared" si="57"/>
        <v>031004200S4120540</v>
      </c>
    </row>
    <row r="1793" spans="1:9">
      <c r="A1793" s="241" t="s">
        <v>183</v>
      </c>
      <c r="B1793" s="242" t="s">
        <v>208</v>
      </c>
      <c r="C1793" s="242" t="s">
        <v>1140</v>
      </c>
      <c r="D1793" s="242"/>
      <c r="E1793" s="242"/>
      <c r="F1793" s="243">
        <v>15081150</v>
      </c>
      <c r="G1793" s="243">
        <v>15081150</v>
      </c>
      <c r="H1793" s="243">
        <f t="shared" si="58"/>
        <v>100</v>
      </c>
      <c r="I1793" s="123" t="str">
        <f t="shared" si="57"/>
        <v>0400</v>
      </c>
    </row>
    <row r="1794" spans="1:9">
      <c r="A1794" s="241" t="s">
        <v>252</v>
      </c>
      <c r="B1794" s="242" t="s">
        <v>208</v>
      </c>
      <c r="C1794" s="242" t="s">
        <v>358</v>
      </c>
      <c r="D1794" s="242"/>
      <c r="E1794" s="242"/>
      <c r="F1794" s="243">
        <v>15081150</v>
      </c>
      <c r="G1794" s="243">
        <v>15081150</v>
      </c>
      <c r="H1794" s="243">
        <f t="shared" si="58"/>
        <v>100</v>
      </c>
      <c r="I1794" s="123" t="str">
        <f t="shared" si="57"/>
        <v>0409</v>
      </c>
    </row>
    <row r="1795" spans="1:9" ht="25.5">
      <c r="A1795" s="241" t="s">
        <v>483</v>
      </c>
      <c r="B1795" s="242" t="s">
        <v>208</v>
      </c>
      <c r="C1795" s="242" t="s">
        <v>358</v>
      </c>
      <c r="D1795" s="242" t="s">
        <v>993</v>
      </c>
      <c r="E1795" s="242"/>
      <c r="F1795" s="243">
        <v>15081150</v>
      </c>
      <c r="G1795" s="243">
        <v>15081150</v>
      </c>
      <c r="H1795" s="243">
        <f t="shared" si="58"/>
        <v>100</v>
      </c>
      <c r="I1795" s="123" t="str">
        <f t="shared" si="57"/>
        <v>04090900000000</v>
      </c>
    </row>
    <row r="1796" spans="1:9">
      <c r="A1796" s="51" t="s">
        <v>484</v>
      </c>
      <c r="B1796" s="440">
        <v>890</v>
      </c>
      <c r="C1796" s="482" t="s">
        <v>358</v>
      </c>
      <c r="D1796" s="482" t="s">
        <v>994</v>
      </c>
      <c r="E1796" s="441"/>
      <c r="F1796" s="443">
        <v>15081150</v>
      </c>
      <c r="G1796" s="443">
        <v>15081150</v>
      </c>
      <c r="H1796" s="243">
        <f t="shared" si="58"/>
        <v>100</v>
      </c>
      <c r="I1796" s="123" t="str">
        <f t="shared" si="57"/>
        <v>04090910000000</v>
      </c>
    </row>
    <row r="1797" spans="1:9" ht="89.25">
      <c r="A1797" s="395" t="s">
        <v>2113</v>
      </c>
      <c r="B1797" s="440">
        <v>890</v>
      </c>
      <c r="C1797" s="482" t="s">
        <v>358</v>
      </c>
      <c r="D1797" s="482" t="s">
        <v>910</v>
      </c>
      <c r="E1797" s="441"/>
      <c r="F1797" s="443">
        <v>10206400</v>
      </c>
      <c r="G1797" s="443">
        <v>10206400</v>
      </c>
      <c r="H1797" s="243">
        <f t="shared" si="58"/>
        <v>100</v>
      </c>
      <c r="I1797" s="123" t="str">
        <f t="shared" si="57"/>
        <v>04090910075080</v>
      </c>
    </row>
    <row r="1798" spans="1:9">
      <c r="A1798" s="51" t="s">
        <v>1329</v>
      </c>
      <c r="B1798" s="440">
        <v>890</v>
      </c>
      <c r="C1798" s="482" t="s">
        <v>358</v>
      </c>
      <c r="D1798" s="482" t="s">
        <v>910</v>
      </c>
      <c r="E1798" s="441">
        <v>500</v>
      </c>
      <c r="F1798" s="443">
        <v>10206400</v>
      </c>
      <c r="G1798" s="443">
        <v>10206400</v>
      </c>
      <c r="H1798" s="243">
        <f t="shared" si="58"/>
        <v>100</v>
      </c>
      <c r="I1798" s="123" t="str">
        <f t="shared" si="57"/>
        <v>04090910075080500</v>
      </c>
    </row>
    <row r="1799" spans="1:9">
      <c r="A1799" s="51" t="s">
        <v>68</v>
      </c>
      <c r="B1799" s="440">
        <v>890</v>
      </c>
      <c r="C1799" s="482" t="s">
        <v>358</v>
      </c>
      <c r="D1799" s="482" t="s">
        <v>910</v>
      </c>
      <c r="E1799" s="441">
        <v>540</v>
      </c>
      <c r="F1799" s="443">
        <v>10206400</v>
      </c>
      <c r="G1799" s="443">
        <v>10206400</v>
      </c>
      <c r="H1799" s="243">
        <f t="shared" si="58"/>
        <v>100</v>
      </c>
      <c r="I1799" s="123" t="str">
        <f t="shared" si="57"/>
        <v>04090910075080540</v>
      </c>
    </row>
    <row r="1800" spans="1:9" ht="89.25">
      <c r="A1800" s="395" t="s">
        <v>2113</v>
      </c>
      <c r="B1800" s="440">
        <v>890</v>
      </c>
      <c r="C1800" s="482" t="s">
        <v>358</v>
      </c>
      <c r="D1800" s="482" t="s">
        <v>1857</v>
      </c>
      <c r="E1800" s="441"/>
      <c r="F1800" s="443">
        <v>4874750</v>
      </c>
      <c r="G1800" s="443">
        <v>4874750</v>
      </c>
      <c r="H1800" s="243">
        <f t="shared" si="58"/>
        <v>100</v>
      </c>
      <c r="I1800" s="123" t="str">
        <f t="shared" si="57"/>
        <v>040909100Ч0030</v>
      </c>
    </row>
    <row r="1801" spans="1:9">
      <c r="A1801" s="51" t="s">
        <v>1329</v>
      </c>
      <c r="B1801" s="440">
        <v>890</v>
      </c>
      <c r="C1801" s="482" t="s">
        <v>358</v>
      </c>
      <c r="D1801" s="482" t="s">
        <v>1857</v>
      </c>
      <c r="E1801" s="441">
        <v>500</v>
      </c>
      <c r="F1801" s="443">
        <v>4874750</v>
      </c>
      <c r="G1801" s="443">
        <v>4874750</v>
      </c>
      <c r="H1801" s="243">
        <f t="shared" si="58"/>
        <v>100</v>
      </c>
      <c r="I1801" s="123" t="str">
        <f t="shared" si="57"/>
        <v>040909100Ч0030500</v>
      </c>
    </row>
    <row r="1802" spans="1:9">
      <c r="A1802" s="51" t="s">
        <v>68</v>
      </c>
      <c r="B1802" s="440">
        <v>890</v>
      </c>
      <c r="C1802" s="482" t="s">
        <v>358</v>
      </c>
      <c r="D1802" s="482" t="s">
        <v>1857</v>
      </c>
      <c r="E1802" s="441">
        <v>540</v>
      </c>
      <c r="F1802" s="443">
        <v>4874750</v>
      </c>
      <c r="G1802" s="443">
        <v>4874750</v>
      </c>
      <c r="H1802" s="243">
        <f t="shared" si="58"/>
        <v>100</v>
      </c>
      <c r="I1802" s="123" t="str">
        <f t="shared" si="57"/>
        <v>040909100Ч0030540</v>
      </c>
    </row>
    <row r="1803" spans="1:9">
      <c r="A1803" s="51" t="s">
        <v>239</v>
      </c>
      <c r="B1803" s="440">
        <v>890</v>
      </c>
      <c r="C1803" s="482" t="s">
        <v>1141</v>
      </c>
      <c r="D1803" s="482"/>
      <c r="E1803" s="441"/>
      <c r="F1803" s="443">
        <v>1294300</v>
      </c>
      <c r="G1803" s="443">
        <v>1294300</v>
      </c>
      <c r="H1803" s="243">
        <f t="shared" si="58"/>
        <v>100</v>
      </c>
      <c r="I1803" s="123" t="str">
        <f t="shared" si="57"/>
        <v>0500</v>
      </c>
    </row>
    <row r="1804" spans="1:9">
      <c r="A1804" s="51" t="s">
        <v>37</v>
      </c>
      <c r="B1804" s="440">
        <v>890</v>
      </c>
      <c r="C1804" s="482" t="s">
        <v>388</v>
      </c>
      <c r="D1804" s="482"/>
      <c r="E1804" s="441"/>
      <c r="F1804" s="443">
        <v>1294300</v>
      </c>
      <c r="G1804" s="443">
        <v>1294300</v>
      </c>
      <c r="H1804" s="243">
        <f t="shared" si="58"/>
        <v>100</v>
      </c>
      <c r="I1804" s="123" t="str">
        <f t="shared" si="57"/>
        <v>0503</v>
      </c>
    </row>
    <row r="1805" spans="1:9" ht="25.5">
      <c r="A1805" s="51" t="s">
        <v>1371</v>
      </c>
      <c r="B1805" s="440">
        <v>890</v>
      </c>
      <c r="C1805" s="482" t="s">
        <v>388</v>
      </c>
      <c r="D1805" s="482" t="s">
        <v>999</v>
      </c>
      <c r="E1805" s="441"/>
      <c r="F1805" s="443">
        <v>1294300</v>
      </c>
      <c r="G1805" s="443">
        <v>1294300</v>
      </c>
      <c r="H1805" s="243">
        <f t="shared" si="58"/>
        <v>100</v>
      </c>
      <c r="I1805" s="123" t="str">
        <f t="shared" si="57"/>
        <v>05031100000000</v>
      </c>
    </row>
    <row r="1806" spans="1:9" ht="51">
      <c r="A1806" s="51" t="s">
        <v>1374</v>
      </c>
      <c r="B1806" s="440">
        <v>890</v>
      </c>
      <c r="C1806" s="482" t="s">
        <v>388</v>
      </c>
      <c r="D1806" s="482" t="s">
        <v>1000</v>
      </c>
      <c r="E1806" s="441"/>
      <c r="F1806" s="443">
        <v>1294300</v>
      </c>
      <c r="G1806" s="443">
        <v>1294300</v>
      </c>
      <c r="H1806" s="243">
        <f t="shared" si="58"/>
        <v>100</v>
      </c>
      <c r="I1806" s="123" t="str">
        <f t="shared" si="57"/>
        <v>05031110000000</v>
      </c>
    </row>
    <row r="1807" spans="1:9" ht="102">
      <c r="A1807" s="395" t="s">
        <v>2209</v>
      </c>
      <c r="B1807" s="440">
        <v>890</v>
      </c>
      <c r="C1807" s="482" t="s">
        <v>388</v>
      </c>
      <c r="D1807" s="482" t="s">
        <v>2210</v>
      </c>
      <c r="E1807" s="441"/>
      <c r="F1807" s="443">
        <v>1294300</v>
      </c>
      <c r="G1807" s="443">
        <v>1294300</v>
      </c>
      <c r="H1807" s="243">
        <f t="shared" si="58"/>
        <v>100</v>
      </c>
      <c r="I1807" s="123" t="str">
        <f t="shared" si="57"/>
        <v>050311100S6660</v>
      </c>
    </row>
    <row r="1808" spans="1:9">
      <c r="A1808" s="51" t="s">
        <v>1329</v>
      </c>
      <c r="B1808" s="440">
        <v>890</v>
      </c>
      <c r="C1808" s="482" t="s">
        <v>388</v>
      </c>
      <c r="D1808" s="482" t="s">
        <v>2210</v>
      </c>
      <c r="E1808" s="441">
        <v>500</v>
      </c>
      <c r="F1808" s="443">
        <v>1294300</v>
      </c>
      <c r="G1808" s="443">
        <v>1294300</v>
      </c>
      <c r="H1808" s="243">
        <f t="shared" si="58"/>
        <v>100</v>
      </c>
      <c r="I1808" s="123" t="str">
        <f t="shared" si="57"/>
        <v>050311100S6660500</v>
      </c>
    </row>
    <row r="1809" spans="1:9">
      <c r="A1809" s="51" t="s">
        <v>68</v>
      </c>
      <c r="B1809" s="440">
        <v>890</v>
      </c>
      <c r="C1809" s="482" t="s">
        <v>388</v>
      </c>
      <c r="D1809" s="482" t="s">
        <v>2210</v>
      </c>
      <c r="E1809" s="441">
        <v>540</v>
      </c>
      <c r="F1809" s="443">
        <v>1294300</v>
      </c>
      <c r="G1809" s="443">
        <v>1294300</v>
      </c>
      <c r="H1809" s="243">
        <f t="shared" si="58"/>
        <v>100</v>
      </c>
      <c r="I1809" s="123" t="str">
        <f t="shared" si="57"/>
        <v>050311100S6660540</v>
      </c>
    </row>
    <row r="1810" spans="1:9">
      <c r="A1810" s="51" t="s">
        <v>140</v>
      </c>
      <c r="B1810" s="440">
        <v>890</v>
      </c>
      <c r="C1810" s="482" t="s">
        <v>1142</v>
      </c>
      <c r="D1810" s="482"/>
      <c r="E1810" s="441"/>
      <c r="F1810" s="443">
        <v>2500000</v>
      </c>
      <c r="G1810" s="443">
        <v>2500000</v>
      </c>
      <c r="H1810" s="243">
        <f t="shared" si="58"/>
        <v>100</v>
      </c>
      <c r="I1810" s="123" t="str">
        <f t="shared" si="57"/>
        <v>0700</v>
      </c>
    </row>
    <row r="1811" spans="1:9">
      <c r="A1811" s="51" t="s">
        <v>1075</v>
      </c>
      <c r="B1811" s="440">
        <v>890</v>
      </c>
      <c r="C1811" s="482" t="s">
        <v>365</v>
      </c>
      <c r="D1811" s="482"/>
      <c r="E1811" s="441"/>
      <c r="F1811" s="443">
        <v>2500000</v>
      </c>
      <c r="G1811" s="443">
        <v>2500000</v>
      </c>
      <c r="H1811" s="243">
        <f t="shared" si="58"/>
        <v>100</v>
      </c>
      <c r="I1811" s="123" t="str">
        <f t="shared" si="57"/>
        <v>0707</v>
      </c>
    </row>
    <row r="1812" spans="1:9">
      <c r="A1812" s="51" t="s">
        <v>466</v>
      </c>
      <c r="B1812" s="440">
        <v>890</v>
      </c>
      <c r="C1812" s="482" t="s">
        <v>365</v>
      </c>
      <c r="D1812" s="482" t="s">
        <v>985</v>
      </c>
      <c r="E1812" s="441"/>
      <c r="F1812" s="443">
        <v>2500000</v>
      </c>
      <c r="G1812" s="443">
        <v>2500000</v>
      </c>
      <c r="H1812" s="243">
        <f t="shared" si="58"/>
        <v>100</v>
      </c>
      <c r="I1812" s="123" t="str">
        <f t="shared" si="57"/>
        <v>07070600000000</v>
      </c>
    </row>
    <row r="1813" spans="1:9" ht="25.5">
      <c r="A1813" s="51" t="s">
        <v>467</v>
      </c>
      <c r="B1813" s="440">
        <v>890</v>
      </c>
      <c r="C1813" s="482" t="s">
        <v>365</v>
      </c>
      <c r="D1813" s="482" t="s">
        <v>986</v>
      </c>
      <c r="E1813" s="441"/>
      <c r="F1813" s="443">
        <v>2500000</v>
      </c>
      <c r="G1813" s="443">
        <v>2500000</v>
      </c>
      <c r="H1813" s="243">
        <f t="shared" si="58"/>
        <v>100</v>
      </c>
      <c r="I1813" s="123" t="str">
        <f t="shared" si="57"/>
        <v>07070610000000</v>
      </c>
    </row>
    <row r="1814" spans="1:9" ht="102">
      <c r="A1814" s="395" t="s">
        <v>1482</v>
      </c>
      <c r="B1814" s="440">
        <v>890</v>
      </c>
      <c r="C1814" s="482" t="s">
        <v>365</v>
      </c>
      <c r="D1814" s="482" t="s">
        <v>799</v>
      </c>
      <c r="E1814" s="441"/>
      <c r="F1814" s="443">
        <v>2500000</v>
      </c>
      <c r="G1814" s="443">
        <v>2500000</v>
      </c>
      <c r="H1814" s="243">
        <f t="shared" si="58"/>
        <v>100</v>
      </c>
      <c r="I1814" s="123" t="str">
        <f t="shared" si="57"/>
        <v>070706100Ч0050</v>
      </c>
    </row>
    <row r="1815" spans="1:9">
      <c r="A1815" s="51" t="s">
        <v>1329</v>
      </c>
      <c r="B1815" s="440">
        <v>890</v>
      </c>
      <c r="C1815" s="482" t="s">
        <v>365</v>
      </c>
      <c r="D1815" s="482" t="s">
        <v>799</v>
      </c>
      <c r="E1815" s="441">
        <v>500</v>
      </c>
      <c r="F1815" s="443">
        <v>2500000</v>
      </c>
      <c r="G1815" s="443">
        <v>2500000</v>
      </c>
      <c r="H1815" s="243">
        <f t="shared" si="58"/>
        <v>100</v>
      </c>
      <c r="I1815" s="123" t="str">
        <f t="shared" si="57"/>
        <v>070706100Ч0050500</v>
      </c>
    </row>
    <row r="1816" spans="1:9">
      <c r="A1816" s="51" t="s">
        <v>68</v>
      </c>
      <c r="B1816" s="440">
        <v>890</v>
      </c>
      <c r="C1816" s="482" t="s">
        <v>365</v>
      </c>
      <c r="D1816" s="482" t="s">
        <v>799</v>
      </c>
      <c r="E1816" s="441">
        <v>540</v>
      </c>
      <c r="F1816" s="443">
        <v>2500000</v>
      </c>
      <c r="G1816" s="443">
        <v>2500000</v>
      </c>
      <c r="H1816" s="243">
        <f t="shared" si="58"/>
        <v>100</v>
      </c>
      <c r="I1816" s="123" t="str">
        <f t="shared" si="57"/>
        <v>070706100Ч0050540</v>
      </c>
    </row>
    <row r="1817" spans="1:9">
      <c r="A1817" s="51" t="s">
        <v>2159</v>
      </c>
      <c r="B1817" s="440">
        <v>890</v>
      </c>
      <c r="C1817" s="482" t="s">
        <v>2160</v>
      </c>
      <c r="D1817" s="482"/>
      <c r="E1817" s="441"/>
      <c r="F1817" s="443">
        <v>60210</v>
      </c>
      <c r="G1817" s="443">
        <v>60210</v>
      </c>
      <c r="H1817" s="243">
        <f t="shared" si="58"/>
        <v>100</v>
      </c>
      <c r="I1817" s="123" t="str">
        <f t="shared" si="57"/>
        <v>0900</v>
      </c>
    </row>
    <row r="1818" spans="1:9">
      <c r="A1818" s="51" t="s">
        <v>2161</v>
      </c>
      <c r="B1818" s="440">
        <v>890</v>
      </c>
      <c r="C1818" s="482" t="s">
        <v>373</v>
      </c>
      <c r="D1818" s="482"/>
      <c r="E1818" s="441"/>
      <c r="F1818" s="443">
        <v>60210</v>
      </c>
      <c r="G1818" s="443">
        <v>60210</v>
      </c>
      <c r="H1818" s="243">
        <f t="shared" si="58"/>
        <v>100</v>
      </c>
      <c r="I1818" s="123" t="str">
        <f t="shared" si="57"/>
        <v>0909</v>
      </c>
    </row>
    <row r="1819" spans="1:9" ht="25.5">
      <c r="A1819" s="51" t="s">
        <v>1371</v>
      </c>
      <c r="B1819" s="440">
        <v>890</v>
      </c>
      <c r="C1819" s="482" t="s">
        <v>373</v>
      </c>
      <c r="D1819" s="482" t="s">
        <v>999</v>
      </c>
      <c r="E1819" s="441"/>
      <c r="F1819" s="443">
        <v>60210</v>
      </c>
      <c r="G1819" s="443">
        <v>60210</v>
      </c>
      <c r="H1819" s="243">
        <f t="shared" si="58"/>
        <v>100</v>
      </c>
      <c r="I1819" s="123" t="str">
        <f t="shared" si="57"/>
        <v>09091100000000</v>
      </c>
    </row>
    <row r="1820" spans="1:9" ht="51">
      <c r="A1820" s="51" t="s">
        <v>1374</v>
      </c>
      <c r="B1820" s="440">
        <v>890</v>
      </c>
      <c r="C1820" s="482" t="s">
        <v>373</v>
      </c>
      <c r="D1820" s="482" t="s">
        <v>1000</v>
      </c>
      <c r="E1820" s="441"/>
      <c r="F1820" s="443">
        <v>60210</v>
      </c>
      <c r="G1820" s="443">
        <v>60210</v>
      </c>
      <c r="H1820" s="243">
        <f t="shared" si="58"/>
        <v>100</v>
      </c>
      <c r="I1820" s="123" t="str">
        <f t="shared" ref="I1820:I1860" si="59">CONCATENATE(C1820,D1820,E1820)</f>
        <v>09091110000000</v>
      </c>
    </row>
    <row r="1821" spans="1:9" ht="153">
      <c r="A1821" s="395" t="s">
        <v>2162</v>
      </c>
      <c r="B1821" s="440">
        <v>890</v>
      </c>
      <c r="C1821" s="482" t="s">
        <v>373</v>
      </c>
      <c r="D1821" s="482" t="s">
        <v>2163</v>
      </c>
      <c r="E1821" s="441"/>
      <c r="F1821" s="443">
        <v>60210</v>
      </c>
      <c r="G1821" s="443">
        <v>60210</v>
      </c>
      <c r="H1821" s="243">
        <f t="shared" si="58"/>
        <v>100</v>
      </c>
      <c r="I1821" s="123" t="str">
        <f t="shared" si="59"/>
        <v>09091110075550</v>
      </c>
    </row>
    <row r="1822" spans="1:9">
      <c r="A1822" s="51" t="s">
        <v>1329</v>
      </c>
      <c r="B1822" s="440">
        <v>890</v>
      </c>
      <c r="C1822" s="482" t="s">
        <v>373</v>
      </c>
      <c r="D1822" s="482" t="s">
        <v>2163</v>
      </c>
      <c r="E1822" s="441">
        <v>500</v>
      </c>
      <c r="F1822" s="443">
        <v>60210</v>
      </c>
      <c r="G1822" s="443">
        <v>60210</v>
      </c>
      <c r="H1822" s="243">
        <f t="shared" si="58"/>
        <v>100</v>
      </c>
      <c r="I1822" s="123" t="str">
        <f t="shared" si="59"/>
        <v>09091110075550500</v>
      </c>
    </row>
    <row r="1823" spans="1:9">
      <c r="A1823" s="51" t="s">
        <v>68</v>
      </c>
      <c r="B1823" s="440">
        <v>890</v>
      </c>
      <c r="C1823" s="482" t="s">
        <v>373</v>
      </c>
      <c r="D1823" s="482" t="s">
        <v>2163</v>
      </c>
      <c r="E1823" s="441">
        <v>540</v>
      </c>
      <c r="F1823" s="443">
        <v>60210</v>
      </c>
      <c r="G1823" s="443">
        <v>60210</v>
      </c>
      <c r="H1823" s="243">
        <f t="shared" si="58"/>
        <v>100</v>
      </c>
      <c r="I1823" s="123" t="str">
        <f t="shared" si="59"/>
        <v>09091110075550540</v>
      </c>
    </row>
    <row r="1824" spans="1:9">
      <c r="A1824" s="51" t="s">
        <v>248</v>
      </c>
      <c r="B1824" s="440">
        <v>890</v>
      </c>
      <c r="C1824" s="482" t="s">
        <v>1144</v>
      </c>
      <c r="D1824" s="482"/>
      <c r="E1824" s="483"/>
      <c r="F1824" s="443">
        <v>399200</v>
      </c>
      <c r="G1824" s="443">
        <v>399200</v>
      </c>
      <c r="H1824" s="243">
        <f t="shared" si="58"/>
        <v>100</v>
      </c>
      <c r="I1824" s="123" t="str">
        <f t="shared" si="59"/>
        <v>1100</v>
      </c>
    </row>
    <row r="1825" spans="1:9">
      <c r="A1825" s="51" t="s">
        <v>1228</v>
      </c>
      <c r="B1825" s="440">
        <v>890</v>
      </c>
      <c r="C1825" s="482" t="s">
        <v>1229</v>
      </c>
      <c r="D1825" s="482"/>
      <c r="E1825" s="483"/>
      <c r="F1825" s="443">
        <v>399200</v>
      </c>
      <c r="G1825" s="443">
        <v>399200</v>
      </c>
      <c r="H1825" s="243">
        <f t="shared" si="58"/>
        <v>100</v>
      </c>
      <c r="I1825" s="123" t="str">
        <f t="shared" si="59"/>
        <v>1101</v>
      </c>
    </row>
    <row r="1826" spans="1:9" ht="25.5">
      <c r="A1826" s="51" t="s">
        <v>1351</v>
      </c>
      <c r="B1826" s="440">
        <v>890</v>
      </c>
      <c r="C1826" s="482" t="s">
        <v>1229</v>
      </c>
      <c r="D1826" s="482" t="s">
        <v>988</v>
      </c>
      <c r="E1826" s="483"/>
      <c r="F1826" s="443">
        <v>399200</v>
      </c>
      <c r="G1826" s="443">
        <v>399200</v>
      </c>
      <c r="H1826" s="243">
        <f t="shared" si="58"/>
        <v>100</v>
      </c>
      <c r="I1826" s="123" t="str">
        <f t="shared" si="59"/>
        <v>11010700000000</v>
      </c>
    </row>
    <row r="1827" spans="1:9" ht="25.5">
      <c r="A1827" s="51" t="s">
        <v>475</v>
      </c>
      <c r="B1827" s="440">
        <v>890</v>
      </c>
      <c r="C1827" s="482" t="s">
        <v>1229</v>
      </c>
      <c r="D1827" s="482" t="s">
        <v>989</v>
      </c>
      <c r="E1827" s="483"/>
      <c r="F1827" s="443">
        <v>399200</v>
      </c>
      <c r="G1827" s="443">
        <v>399200</v>
      </c>
      <c r="H1827" s="243">
        <f t="shared" si="58"/>
        <v>100</v>
      </c>
      <c r="I1827" s="123" t="str">
        <f t="shared" si="59"/>
        <v>11010710000000</v>
      </c>
    </row>
    <row r="1828" spans="1:9" ht="89.25">
      <c r="A1828" s="395" t="s">
        <v>2164</v>
      </c>
      <c r="B1828" s="440">
        <v>890</v>
      </c>
      <c r="C1828" s="482" t="s">
        <v>1229</v>
      </c>
      <c r="D1828" s="482" t="s">
        <v>2114</v>
      </c>
      <c r="E1828" s="483"/>
      <c r="F1828" s="443">
        <v>399200</v>
      </c>
      <c r="G1828" s="443">
        <v>399200</v>
      </c>
      <c r="H1828" s="243">
        <f t="shared" si="58"/>
        <v>100</v>
      </c>
      <c r="I1828" s="123" t="str">
        <f t="shared" si="59"/>
        <v>11010710074180</v>
      </c>
    </row>
    <row r="1829" spans="1:9">
      <c r="A1829" s="51" t="s">
        <v>1329</v>
      </c>
      <c r="B1829" s="440">
        <v>890</v>
      </c>
      <c r="C1829" s="482" t="s">
        <v>1229</v>
      </c>
      <c r="D1829" s="482" t="s">
        <v>2114</v>
      </c>
      <c r="E1829" s="483">
        <v>500</v>
      </c>
      <c r="F1829" s="443">
        <v>399200</v>
      </c>
      <c r="G1829" s="443">
        <v>399200</v>
      </c>
      <c r="H1829" s="243">
        <f t="shared" si="58"/>
        <v>100</v>
      </c>
      <c r="I1829" s="123" t="str">
        <f t="shared" si="59"/>
        <v>11010710074180500</v>
      </c>
    </row>
    <row r="1830" spans="1:9">
      <c r="A1830" s="51" t="s">
        <v>68</v>
      </c>
      <c r="B1830" s="440">
        <v>890</v>
      </c>
      <c r="C1830" s="482" t="s">
        <v>1229</v>
      </c>
      <c r="D1830" s="482" t="s">
        <v>2114</v>
      </c>
      <c r="E1830" s="483">
        <v>540</v>
      </c>
      <c r="F1830" s="443">
        <v>399200</v>
      </c>
      <c r="G1830" s="443">
        <v>399200</v>
      </c>
      <c r="H1830" s="243">
        <f t="shared" si="58"/>
        <v>100</v>
      </c>
      <c r="I1830" s="123" t="str">
        <f t="shared" si="59"/>
        <v>11010710074180540</v>
      </c>
    </row>
    <row r="1831" spans="1:9" ht="38.25">
      <c r="A1831" s="51" t="s">
        <v>1155</v>
      </c>
      <c r="B1831" s="440">
        <v>890</v>
      </c>
      <c r="C1831" s="482" t="s">
        <v>1156</v>
      </c>
      <c r="D1831" s="482"/>
      <c r="E1831" s="483"/>
      <c r="F1831" s="443">
        <v>159191398</v>
      </c>
      <c r="G1831" s="443">
        <v>152118148.5</v>
      </c>
      <c r="H1831" s="243">
        <f t="shared" si="58"/>
        <v>95.556764003039916</v>
      </c>
      <c r="I1831" s="123" t="str">
        <f t="shared" si="59"/>
        <v>1400</v>
      </c>
    </row>
    <row r="1832" spans="1:9" ht="38.25">
      <c r="A1832" s="51" t="s">
        <v>211</v>
      </c>
      <c r="B1832" s="440">
        <v>890</v>
      </c>
      <c r="C1832" s="482" t="s">
        <v>437</v>
      </c>
      <c r="D1832" s="482"/>
      <c r="E1832" s="483"/>
      <c r="F1832" s="443">
        <v>97389400</v>
      </c>
      <c r="G1832" s="443">
        <v>97389400</v>
      </c>
      <c r="H1832" s="243">
        <f t="shared" si="58"/>
        <v>100</v>
      </c>
      <c r="I1832" s="123" t="str">
        <f t="shared" si="59"/>
        <v>1401</v>
      </c>
    </row>
    <row r="1833" spans="1:9" ht="25.5">
      <c r="A1833" s="51" t="s">
        <v>1371</v>
      </c>
      <c r="B1833" s="440">
        <v>890</v>
      </c>
      <c r="C1833" s="482" t="s">
        <v>437</v>
      </c>
      <c r="D1833" s="482" t="s">
        <v>999</v>
      </c>
      <c r="E1833" s="483"/>
      <c r="F1833" s="443">
        <v>97389400</v>
      </c>
      <c r="G1833" s="443">
        <v>97389400</v>
      </c>
      <c r="H1833" s="243">
        <f t="shared" si="58"/>
        <v>100</v>
      </c>
      <c r="I1833" s="123" t="str">
        <f t="shared" si="59"/>
        <v>14011100000000</v>
      </c>
    </row>
    <row r="1834" spans="1:9" ht="51">
      <c r="A1834" s="51" t="s">
        <v>1374</v>
      </c>
      <c r="B1834" s="440">
        <v>890</v>
      </c>
      <c r="C1834" s="482" t="s">
        <v>437</v>
      </c>
      <c r="D1834" s="482" t="s">
        <v>1000</v>
      </c>
      <c r="E1834" s="483"/>
      <c r="F1834" s="443">
        <v>97389400</v>
      </c>
      <c r="G1834" s="443">
        <v>97389400</v>
      </c>
      <c r="H1834" s="243">
        <f t="shared" si="58"/>
        <v>100</v>
      </c>
      <c r="I1834" s="123" t="str">
        <f t="shared" si="59"/>
        <v>14011110000000</v>
      </c>
    </row>
    <row r="1835" spans="1:9" ht="114.75">
      <c r="A1835" s="395" t="s">
        <v>1377</v>
      </c>
      <c r="B1835" s="440">
        <v>890</v>
      </c>
      <c r="C1835" s="482" t="s">
        <v>437</v>
      </c>
      <c r="D1835" s="482">
        <v>1110076010</v>
      </c>
      <c r="E1835" s="483"/>
      <c r="F1835" s="443">
        <v>47081000</v>
      </c>
      <c r="G1835" s="443">
        <v>47081000</v>
      </c>
      <c r="H1835" s="243">
        <f t="shared" si="58"/>
        <v>100</v>
      </c>
      <c r="I1835" s="123" t="str">
        <f t="shared" si="59"/>
        <v>14011110076010</v>
      </c>
    </row>
    <row r="1836" spans="1:9">
      <c r="A1836" s="51" t="s">
        <v>1329</v>
      </c>
      <c r="B1836" s="440">
        <v>890</v>
      </c>
      <c r="C1836" s="482" t="s">
        <v>437</v>
      </c>
      <c r="D1836" s="482" t="s">
        <v>801</v>
      </c>
      <c r="E1836" s="483">
        <v>500</v>
      </c>
      <c r="F1836" s="443">
        <v>47081000</v>
      </c>
      <c r="G1836" s="443">
        <v>47081000</v>
      </c>
      <c r="H1836" s="243">
        <f t="shared" si="58"/>
        <v>100</v>
      </c>
      <c r="I1836" s="123" t="str">
        <f t="shared" si="59"/>
        <v>14011110076010500</v>
      </c>
    </row>
    <row r="1837" spans="1:9">
      <c r="A1837" s="51" t="s">
        <v>1208</v>
      </c>
      <c r="B1837" s="440">
        <v>890</v>
      </c>
      <c r="C1837" s="482" t="s">
        <v>437</v>
      </c>
      <c r="D1837" s="482" t="s">
        <v>801</v>
      </c>
      <c r="E1837" s="483">
        <v>510</v>
      </c>
      <c r="F1837" s="443">
        <v>47081000</v>
      </c>
      <c r="G1837" s="443">
        <v>47081000</v>
      </c>
      <c r="H1837" s="243">
        <f t="shared" si="58"/>
        <v>100</v>
      </c>
      <c r="I1837" s="123" t="str">
        <f t="shared" si="59"/>
        <v>14011110076010510</v>
      </c>
    </row>
    <row r="1838" spans="1:9">
      <c r="A1838" s="51" t="s">
        <v>546</v>
      </c>
      <c r="B1838" s="440">
        <v>890</v>
      </c>
      <c r="C1838" s="482" t="s">
        <v>437</v>
      </c>
      <c r="D1838" s="482" t="s">
        <v>801</v>
      </c>
      <c r="E1838" s="483">
        <v>511</v>
      </c>
      <c r="F1838" s="443">
        <v>47081000</v>
      </c>
      <c r="G1838" s="443">
        <v>47081000</v>
      </c>
      <c r="H1838" s="243">
        <f t="shared" si="58"/>
        <v>100</v>
      </c>
      <c r="I1838" s="123" t="str">
        <f t="shared" si="59"/>
        <v>14011110076010511</v>
      </c>
    </row>
    <row r="1839" spans="1:9" ht="89.25">
      <c r="A1839" s="395" t="s">
        <v>540</v>
      </c>
      <c r="B1839" s="440">
        <v>890</v>
      </c>
      <c r="C1839" s="482" t="s">
        <v>437</v>
      </c>
      <c r="D1839" s="482" t="s">
        <v>802</v>
      </c>
      <c r="E1839" s="483"/>
      <c r="F1839" s="443">
        <v>50308400</v>
      </c>
      <c r="G1839" s="443">
        <v>50308400</v>
      </c>
      <c r="H1839" s="243">
        <f t="shared" si="58"/>
        <v>100</v>
      </c>
      <c r="I1839" s="123" t="str">
        <f t="shared" si="59"/>
        <v>14011110080130</v>
      </c>
    </row>
    <row r="1840" spans="1:9">
      <c r="A1840" s="51" t="s">
        <v>1329</v>
      </c>
      <c r="B1840" s="440">
        <v>890</v>
      </c>
      <c r="C1840" s="482" t="s">
        <v>437</v>
      </c>
      <c r="D1840" s="482" t="s">
        <v>802</v>
      </c>
      <c r="E1840" s="483">
        <v>500</v>
      </c>
      <c r="F1840" s="443">
        <v>50308400</v>
      </c>
      <c r="G1840" s="443">
        <v>50308400</v>
      </c>
      <c r="H1840" s="243">
        <f t="shared" si="58"/>
        <v>100</v>
      </c>
      <c r="I1840" s="123" t="str">
        <f t="shared" si="59"/>
        <v>14011110080130500</v>
      </c>
    </row>
    <row r="1841" spans="1:9">
      <c r="A1841" s="51" t="s">
        <v>1208</v>
      </c>
      <c r="B1841" s="440">
        <v>890</v>
      </c>
      <c r="C1841" s="482" t="s">
        <v>437</v>
      </c>
      <c r="D1841" s="482" t="s">
        <v>802</v>
      </c>
      <c r="E1841" s="483">
        <v>510</v>
      </c>
      <c r="F1841" s="443">
        <v>50308400</v>
      </c>
      <c r="G1841" s="443">
        <v>50308400</v>
      </c>
      <c r="H1841" s="243">
        <f t="shared" si="58"/>
        <v>100</v>
      </c>
      <c r="I1841" s="123" t="str">
        <f t="shared" si="59"/>
        <v>14011110080130510</v>
      </c>
    </row>
    <row r="1842" spans="1:9">
      <c r="A1842" s="51" t="s">
        <v>546</v>
      </c>
      <c r="B1842" s="440">
        <v>890</v>
      </c>
      <c r="C1842" s="482" t="s">
        <v>437</v>
      </c>
      <c r="D1842" s="482" t="s">
        <v>802</v>
      </c>
      <c r="E1842" s="483">
        <v>511</v>
      </c>
      <c r="F1842" s="443">
        <v>50308400</v>
      </c>
      <c r="G1842" s="443">
        <v>50308400</v>
      </c>
      <c r="H1842" s="243">
        <f t="shared" si="58"/>
        <v>100</v>
      </c>
      <c r="I1842" s="123" t="str">
        <f t="shared" si="59"/>
        <v>14011110080130511</v>
      </c>
    </row>
    <row r="1843" spans="1:9">
      <c r="A1843" s="51" t="s">
        <v>250</v>
      </c>
      <c r="B1843" s="440">
        <v>890</v>
      </c>
      <c r="C1843" s="482" t="s">
        <v>439</v>
      </c>
      <c r="D1843" s="482"/>
      <c r="E1843" s="483"/>
      <c r="F1843" s="443">
        <v>61801998</v>
      </c>
      <c r="G1843" s="443">
        <v>54728748.5</v>
      </c>
      <c r="H1843" s="243">
        <f t="shared" si="58"/>
        <v>88.554982478074578</v>
      </c>
      <c r="I1843" s="123" t="str">
        <f t="shared" si="59"/>
        <v>1403</v>
      </c>
    </row>
    <row r="1844" spans="1:9" ht="25.5">
      <c r="A1844" s="51" t="s">
        <v>1371</v>
      </c>
      <c r="B1844" s="445">
        <v>890</v>
      </c>
      <c r="C1844" s="158" t="s">
        <v>439</v>
      </c>
      <c r="D1844" s="158" t="s">
        <v>999</v>
      </c>
      <c r="E1844" s="160"/>
      <c r="F1844" s="443">
        <v>61801998</v>
      </c>
      <c r="G1844" s="443">
        <v>54728748.5</v>
      </c>
      <c r="H1844" s="243">
        <f t="shared" si="58"/>
        <v>88.554982478074578</v>
      </c>
      <c r="I1844" s="123" t="str">
        <f t="shared" si="59"/>
        <v>14031100000000</v>
      </c>
    </row>
    <row r="1845" spans="1:9" ht="51">
      <c r="A1845" s="51" t="s">
        <v>1374</v>
      </c>
      <c r="B1845" s="445">
        <v>890</v>
      </c>
      <c r="C1845" s="158" t="s">
        <v>439</v>
      </c>
      <c r="D1845" s="158" t="s">
        <v>1000</v>
      </c>
      <c r="E1845" s="160"/>
      <c r="F1845" s="443">
        <v>61801998</v>
      </c>
      <c r="G1845" s="443">
        <v>54728748.5</v>
      </c>
      <c r="H1845" s="243">
        <f t="shared" si="58"/>
        <v>88.554982478074578</v>
      </c>
      <c r="I1845" s="123" t="str">
        <f t="shared" si="59"/>
        <v>14031110000000</v>
      </c>
    </row>
    <row r="1846" spans="1:9" ht="127.5">
      <c r="A1846" s="395" t="s">
        <v>2234</v>
      </c>
      <c r="B1846" s="445">
        <v>890</v>
      </c>
      <c r="C1846" s="158" t="s">
        <v>439</v>
      </c>
      <c r="D1846" s="158" t="s">
        <v>2235</v>
      </c>
      <c r="E1846" s="160"/>
      <c r="F1846" s="443">
        <v>1829220</v>
      </c>
      <c r="G1846" s="443">
        <v>1829220</v>
      </c>
      <c r="H1846" s="243">
        <f t="shared" si="58"/>
        <v>100</v>
      </c>
      <c r="I1846" s="123" t="str">
        <f t="shared" si="59"/>
        <v>14031110010340</v>
      </c>
    </row>
    <row r="1847" spans="1:9">
      <c r="A1847" s="51" t="s">
        <v>1329</v>
      </c>
      <c r="B1847" s="445">
        <v>890</v>
      </c>
      <c r="C1847" s="158" t="s">
        <v>439</v>
      </c>
      <c r="D1847" s="158" t="s">
        <v>2235</v>
      </c>
      <c r="E1847" s="160">
        <v>500</v>
      </c>
      <c r="F1847" s="443">
        <v>1829220</v>
      </c>
      <c r="G1847" s="443">
        <v>1829220</v>
      </c>
      <c r="H1847" s="243">
        <f t="shared" si="58"/>
        <v>100</v>
      </c>
      <c r="I1847" s="123" t="str">
        <f t="shared" si="59"/>
        <v>14031110010340500</v>
      </c>
    </row>
    <row r="1848" spans="1:9">
      <c r="A1848" s="51" t="s">
        <v>68</v>
      </c>
      <c r="B1848" s="445">
        <v>890</v>
      </c>
      <c r="C1848" s="158" t="s">
        <v>439</v>
      </c>
      <c r="D1848" s="158" t="s">
        <v>2235</v>
      </c>
      <c r="E1848" s="160">
        <v>540</v>
      </c>
      <c r="F1848" s="443">
        <v>1829220</v>
      </c>
      <c r="G1848" s="443">
        <v>1829220</v>
      </c>
      <c r="H1848" s="243">
        <f t="shared" si="58"/>
        <v>100</v>
      </c>
      <c r="I1848" s="123" t="str">
        <f t="shared" si="59"/>
        <v>14031110010340540</v>
      </c>
    </row>
    <row r="1849" spans="1:9" ht="114.75">
      <c r="A1849" s="395" t="s">
        <v>2115</v>
      </c>
      <c r="B1849" s="445">
        <v>890</v>
      </c>
      <c r="C1849" s="158" t="s">
        <v>439</v>
      </c>
      <c r="D1849" s="158" t="s">
        <v>2116</v>
      </c>
      <c r="E1849" s="160"/>
      <c r="F1849" s="443">
        <v>5458044</v>
      </c>
      <c r="G1849" s="443">
        <v>5458044</v>
      </c>
      <c r="H1849" s="243">
        <f t="shared" ref="H1849:H1860" si="60">G1849/F1849*100</f>
        <v>100</v>
      </c>
      <c r="I1849" s="123" t="str">
        <f t="shared" si="59"/>
        <v>14031110027240</v>
      </c>
    </row>
    <row r="1850" spans="1:9">
      <c r="A1850" s="51" t="s">
        <v>1329</v>
      </c>
      <c r="B1850" s="445">
        <v>890</v>
      </c>
      <c r="C1850" s="158" t="s">
        <v>439</v>
      </c>
      <c r="D1850" s="158" t="s">
        <v>2116</v>
      </c>
      <c r="E1850" s="160">
        <v>500</v>
      </c>
      <c r="F1850" s="269">
        <v>5458044</v>
      </c>
      <c r="G1850" s="269">
        <v>5458044</v>
      </c>
      <c r="H1850" s="243">
        <f t="shared" si="60"/>
        <v>100</v>
      </c>
      <c r="I1850" s="123" t="str">
        <f t="shared" si="59"/>
        <v>14031110027240500</v>
      </c>
    </row>
    <row r="1851" spans="1:9">
      <c r="A1851" s="51" t="s">
        <v>68</v>
      </c>
      <c r="B1851" s="445">
        <v>890</v>
      </c>
      <c r="C1851" s="158" t="s">
        <v>439</v>
      </c>
      <c r="D1851" s="158" t="s">
        <v>2116</v>
      </c>
      <c r="E1851" s="160">
        <v>540</v>
      </c>
      <c r="F1851" s="269">
        <v>5458044</v>
      </c>
      <c r="G1851" s="269">
        <v>5458044</v>
      </c>
      <c r="H1851" s="243">
        <f t="shared" si="60"/>
        <v>100</v>
      </c>
      <c r="I1851" s="123" t="str">
        <f t="shared" si="59"/>
        <v>14031110027240540</v>
      </c>
    </row>
    <row r="1852" spans="1:9" ht="102">
      <c r="A1852" s="395" t="s">
        <v>2165</v>
      </c>
      <c r="B1852" s="445">
        <v>890</v>
      </c>
      <c r="C1852" s="158" t="s">
        <v>439</v>
      </c>
      <c r="D1852" s="158" t="s">
        <v>2166</v>
      </c>
      <c r="E1852" s="160"/>
      <c r="F1852" s="269">
        <v>2763258</v>
      </c>
      <c r="G1852" s="269">
        <v>2763258</v>
      </c>
      <c r="H1852" s="243">
        <f t="shared" si="60"/>
        <v>100</v>
      </c>
      <c r="I1852" s="123" t="str">
        <f t="shared" si="59"/>
        <v>14031110077450</v>
      </c>
    </row>
    <row r="1853" spans="1:9">
      <c r="A1853" s="51" t="s">
        <v>1329</v>
      </c>
      <c r="B1853" s="445">
        <v>890</v>
      </c>
      <c r="C1853" s="158" t="s">
        <v>439</v>
      </c>
      <c r="D1853" s="158" t="s">
        <v>2166</v>
      </c>
      <c r="E1853" s="160">
        <v>500</v>
      </c>
      <c r="F1853" s="269">
        <v>2763258</v>
      </c>
      <c r="G1853" s="269">
        <v>2763258</v>
      </c>
      <c r="H1853" s="243">
        <f t="shared" si="60"/>
        <v>100</v>
      </c>
      <c r="I1853" s="123" t="str">
        <f t="shared" si="59"/>
        <v>14031110077450500</v>
      </c>
    </row>
    <row r="1854" spans="1:9">
      <c r="A1854" s="51" t="s">
        <v>68</v>
      </c>
      <c r="B1854" s="445">
        <v>890</v>
      </c>
      <c r="C1854" s="158" t="s">
        <v>439</v>
      </c>
      <c r="D1854" s="158" t="s">
        <v>2166</v>
      </c>
      <c r="E1854" s="160">
        <v>540</v>
      </c>
      <c r="F1854" s="269">
        <v>2763258</v>
      </c>
      <c r="G1854" s="269">
        <v>2763258</v>
      </c>
      <c r="H1854" s="243">
        <f t="shared" si="60"/>
        <v>100</v>
      </c>
      <c r="I1854" s="123" t="str">
        <f t="shared" si="59"/>
        <v>14031110077450540</v>
      </c>
    </row>
    <row r="1855" spans="1:9" ht="89.25">
      <c r="A1855" s="395" t="s">
        <v>1486</v>
      </c>
      <c r="B1855" s="445">
        <v>890</v>
      </c>
      <c r="C1855" s="158" t="s">
        <v>439</v>
      </c>
      <c r="D1855" s="158" t="s">
        <v>803</v>
      </c>
      <c r="E1855" s="160"/>
      <c r="F1855" s="269">
        <v>45183322</v>
      </c>
      <c r="G1855" s="269">
        <v>38177541</v>
      </c>
      <c r="H1855" s="243">
        <f t="shared" si="60"/>
        <v>84.494763355381437</v>
      </c>
      <c r="I1855" s="123" t="str">
        <f t="shared" si="59"/>
        <v>14031110080120</v>
      </c>
    </row>
    <row r="1856" spans="1:9">
      <c r="A1856" s="51" t="s">
        <v>1329</v>
      </c>
      <c r="B1856" s="445">
        <v>890</v>
      </c>
      <c r="C1856" s="158" t="s">
        <v>439</v>
      </c>
      <c r="D1856" s="158" t="s">
        <v>803</v>
      </c>
      <c r="E1856" s="160">
        <v>500</v>
      </c>
      <c r="F1856" s="269">
        <v>45183322</v>
      </c>
      <c r="G1856" s="269">
        <v>38177541</v>
      </c>
      <c r="H1856" s="243">
        <f t="shared" si="60"/>
        <v>84.494763355381437</v>
      </c>
      <c r="I1856" s="123" t="str">
        <f t="shared" si="59"/>
        <v>14031110080120500</v>
      </c>
    </row>
    <row r="1857" spans="1:9">
      <c r="A1857" s="51" t="s">
        <v>68</v>
      </c>
      <c r="B1857" s="445">
        <v>890</v>
      </c>
      <c r="C1857" s="158" t="s">
        <v>439</v>
      </c>
      <c r="D1857" s="158" t="s">
        <v>803</v>
      </c>
      <c r="E1857" s="160">
        <v>540</v>
      </c>
      <c r="F1857" s="269">
        <v>45183322</v>
      </c>
      <c r="G1857" s="269">
        <v>38177541</v>
      </c>
      <c r="H1857" s="243">
        <f t="shared" si="60"/>
        <v>84.494763355381437</v>
      </c>
      <c r="I1857" s="123" t="str">
        <f t="shared" si="59"/>
        <v>14031110080120540</v>
      </c>
    </row>
    <row r="1858" spans="1:9" ht="114.75">
      <c r="A1858" s="395" t="s">
        <v>2167</v>
      </c>
      <c r="B1858" s="445">
        <v>890</v>
      </c>
      <c r="C1858" s="158" t="s">
        <v>439</v>
      </c>
      <c r="D1858" s="158" t="s">
        <v>2168</v>
      </c>
      <c r="E1858" s="160"/>
      <c r="F1858" s="269">
        <v>6568154</v>
      </c>
      <c r="G1858" s="269">
        <v>6500685.5</v>
      </c>
      <c r="H1858" s="243">
        <f t="shared" si="60"/>
        <v>98.972793573354096</v>
      </c>
      <c r="I1858" s="123" t="str">
        <f t="shared" si="59"/>
        <v>140311100S6410</v>
      </c>
    </row>
    <row r="1859" spans="1:9">
      <c r="A1859" s="51" t="s">
        <v>1329</v>
      </c>
      <c r="B1859" s="445">
        <v>890</v>
      </c>
      <c r="C1859" s="158" t="s">
        <v>439</v>
      </c>
      <c r="D1859" s="158" t="s">
        <v>2168</v>
      </c>
      <c r="E1859" s="160">
        <v>500</v>
      </c>
      <c r="F1859" s="269">
        <v>6568154</v>
      </c>
      <c r="G1859" s="269">
        <v>6500685.5</v>
      </c>
      <c r="H1859" s="243">
        <f t="shared" si="60"/>
        <v>98.972793573354096</v>
      </c>
      <c r="I1859" s="123" t="str">
        <f t="shared" si="59"/>
        <v>140311100S6410500</v>
      </c>
    </row>
    <row r="1860" spans="1:9">
      <c r="A1860" s="51" t="s">
        <v>68</v>
      </c>
      <c r="B1860" s="445">
        <v>890</v>
      </c>
      <c r="C1860" s="158" t="s">
        <v>439</v>
      </c>
      <c r="D1860" s="158" t="s">
        <v>2168</v>
      </c>
      <c r="E1860" s="160">
        <v>540</v>
      </c>
      <c r="F1860" s="269">
        <v>6568154</v>
      </c>
      <c r="G1860" s="269">
        <v>6500685.5</v>
      </c>
      <c r="H1860" s="243">
        <f t="shared" si="60"/>
        <v>98.972793573354096</v>
      </c>
      <c r="I1860" s="123" t="str">
        <f t="shared" si="59"/>
        <v>140311100S6410540</v>
      </c>
    </row>
  </sheetData>
  <autoFilter ref="A6:J1860">
    <filterColumn colId="2"/>
    <filterColumn colId="3"/>
    <filterColumn colId="6"/>
    <filterColumn colId="7"/>
  </autoFilter>
  <mergeCells count="7">
    <mergeCell ref="G4:G5"/>
    <mergeCell ref="H4:H5"/>
    <mergeCell ref="A1:H1"/>
    <mergeCell ref="A2:H2"/>
    <mergeCell ref="A4:A5"/>
    <mergeCell ref="B4:E4"/>
    <mergeCell ref="F4:F5"/>
  </mergeCells>
  <phoneticPr fontId="3" type="noConversion"/>
  <pageMargins left="0.98425196850393704" right="0.23622047244094491" top="0.19685039370078741" bottom="0.19685039370078741" header="0.15748031496062992" footer="0.15748031496062992"/>
  <pageSetup paperSize="9" scale="69" fitToHeight="0" orientation="portrait" r:id="rId1"/>
  <headerFooter alignWithMargins="0"/>
</worksheet>
</file>

<file path=xl/worksheets/sheet7.xml><?xml version="1.0" encoding="utf-8"?>
<worksheet xmlns="http://schemas.openxmlformats.org/spreadsheetml/2006/main" xmlns:r="http://schemas.openxmlformats.org/officeDocument/2006/relationships">
  <dimension ref="A1:I1307"/>
  <sheetViews>
    <sheetView workbookViewId="0">
      <selection activeCell="K3" sqref="K3"/>
    </sheetView>
  </sheetViews>
  <sheetFormatPr defaultRowHeight="12.75"/>
  <cols>
    <col min="1" max="1" width="38.85546875" style="126" customWidth="1"/>
    <col min="2" max="2" width="7.28515625" style="126" customWidth="1"/>
    <col min="3" max="3" width="8" style="126" customWidth="1"/>
    <col min="4" max="4" width="11.7109375" style="126" customWidth="1"/>
    <col min="5" max="5" width="9.42578125" style="126" customWidth="1"/>
    <col min="6" max="7" width="19.7109375" style="3" customWidth="1"/>
    <col min="8" max="8" width="15.5703125" style="3" customWidth="1"/>
    <col min="9" max="9" width="13.5703125" style="3" bestFit="1" customWidth="1"/>
    <col min="10" max="10" width="9.140625" style="3"/>
    <col min="11" max="11" width="17.7109375" style="3" customWidth="1"/>
    <col min="12" max="12" width="26.5703125" style="3" customWidth="1"/>
    <col min="13" max="16384" width="9.140625" style="3"/>
  </cols>
  <sheetData>
    <row r="1" spans="1:9" ht="48" customHeight="1">
      <c r="A1" s="485" t="str">
        <f>"Приложение №"&amp;Н2вед1&amp;"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85"/>
      <c r="C1" s="485"/>
      <c r="D1" s="485"/>
      <c r="E1" s="485"/>
      <c r="F1" s="485"/>
      <c r="G1" s="485"/>
    </row>
    <row r="2" spans="1:9" ht="53.25" customHeight="1">
      <c r="A2" s="485" t="str">
        <f>"Приложение "&amp;Н1вед1&amp;" к решению
Богучанского районного Совета депутатов
от "&amp;Р1дата&amp;" года №"&amp;Р1номер</f>
        <v>Приложение  к решению
Богучанского районного Совета депутатов
от  года №</v>
      </c>
      <c r="B2" s="485"/>
      <c r="C2" s="485"/>
      <c r="D2" s="485"/>
      <c r="E2" s="485"/>
      <c r="F2" s="485"/>
      <c r="G2" s="485"/>
    </row>
    <row r="3" spans="1:9" ht="58.5" customHeight="1">
      <c r="A3" s="484" t="str">
        <f>"Ведомственная структура расходов районного бюджета на плановый период "&amp;ПлПер&amp;" годов"</f>
        <v>Ведомственная структура расходов районного бюджета на плановый период 2023-2024 годов</v>
      </c>
      <c r="B3" s="484"/>
      <c r="C3" s="484"/>
      <c r="D3" s="484"/>
      <c r="E3" s="484"/>
      <c r="F3" s="484"/>
      <c r="G3" s="484"/>
    </row>
    <row r="4" spans="1:9">
      <c r="G4" s="8" t="s">
        <v>69</v>
      </c>
    </row>
    <row r="5" spans="1:9">
      <c r="A5" s="513" t="s">
        <v>1335</v>
      </c>
      <c r="B5" s="515" t="s">
        <v>177</v>
      </c>
      <c r="C5" s="516"/>
      <c r="D5" s="516"/>
      <c r="E5" s="517"/>
      <c r="F5" s="520" t="s">
        <v>1741</v>
      </c>
      <c r="G5" s="520" t="s">
        <v>1837</v>
      </c>
    </row>
    <row r="6" spans="1:9" ht="41.25" customHeight="1">
      <c r="A6" s="514"/>
      <c r="B6" s="250" t="s">
        <v>1332</v>
      </c>
      <c r="C6" s="250" t="s">
        <v>1331</v>
      </c>
      <c r="D6" s="250" t="s">
        <v>1333</v>
      </c>
      <c r="E6" s="250" t="s">
        <v>1334</v>
      </c>
      <c r="F6" s="520"/>
      <c r="G6" s="520"/>
    </row>
    <row r="7" spans="1:9" s="11" customFormat="1">
      <c r="A7" s="316" t="s">
        <v>70</v>
      </c>
      <c r="B7" s="317" t="s">
        <v>1173</v>
      </c>
      <c r="C7" s="317" t="s">
        <v>1173</v>
      </c>
      <c r="D7" s="317" t="s">
        <v>1173</v>
      </c>
      <c r="E7" s="317" t="s">
        <v>1173</v>
      </c>
      <c r="F7" s="312">
        <f>2341736603.34+30000000</f>
        <v>2371736603.3400002</v>
      </c>
      <c r="G7" s="312">
        <f>2296899854.25+63000000</f>
        <v>2359899854.25</v>
      </c>
      <c r="I7" s="80"/>
    </row>
    <row r="8" spans="1:9">
      <c r="A8" s="316" t="s">
        <v>321</v>
      </c>
      <c r="B8" s="317" t="s">
        <v>178</v>
      </c>
      <c r="C8" s="317" t="s">
        <v>1173</v>
      </c>
      <c r="D8" s="317" t="s">
        <v>1173</v>
      </c>
      <c r="E8" s="317" t="s">
        <v>1173</v>
      </c>
      <c r="F8" s="312">
        <v>7274170</v>
      </c>
      <c r="G8" s="312">
        <v>7274170</v>
      </c>
      <c r="H8" s="81"/>
    </row>
    <row r="9" spans="1:9">
      <c r="A9" s="316" t="s">
        <v>234</v>
      </c>
      <c r="B9" s="317" t="s">
        <v>178</v>
      </c>
      <c r="C9" s="317" t="s">
        <v>1135</v>
      </c>
      <c r="D9" s="317" t="s">
        <v>1173</v>
      </c>
      <c r="E9" s="317" t="s">
        <v>1173</v>
      </c>
      <c r="F9" s="312">
        <v>7274170</v>
      </c>
      <c r="G9" s="312">
        <v>7274170</v>
      </c>
      <c r="H9" s="123" t="str">
        <f>CONCATENATE(C9,,D9,E9)</f>
        <v>0100</v>
      </c>
    </row>
    <row r="10" spans="1:9" ht="63.75">
      <c r="A10" s="316" t="s">
        <v>67</v>
      </c>
      <c r="B10" s="317" t="s">
        <v>178</v>
      </c>
      <c r="C10" s="317" t="s">
        <v>327</v>
      </c>
      <c r="D10" s="317" t="s">
        <v>1173</v>
      </c>
      <c r="E10" s="317" t="s">
        <v>1173</v>
      </c>
      <c r="F10" s="312">
        <v>7274170</v>
      </c>
      <c r="G10" s="312">
        <v>7274170</v>
      </c>
      <c r="H10" s="123" t="str">
        <f t="shared" ref="H10:H73" si="0">CONCATENATE(C10,,D10,E10)</f>
        <v>0103</v>
      </c>
    </row>
    <row r="11" spans="1:9" ht="38.25">
      <c r="A11" s="316" t="s">
        <v>599</v>
      </c>
      <c r="B11" s="317" t="s">
        <v>178</v>
      </c>
      <c r="C11" s="317" t="s">
        <v>327</v>
      </c>
      <c r="D11" s="317" t="s">
        <v>1006</v>
      </c>
      <c r="E11" s="317" t="s">
        <v>1173</v>
      </c>
      <c r="F11" s="312">
        <v>7274170</v>
      </c>
      <c r="G11" s="312">
        <v>7274170</v>
      </c>
      <c r="H11" s="123" t="str">
        <f t="shared" si="0"/>
        <v>01038000000000</v>
      </c>
    </row>
    <row r="12" spans="1:9" ht="51">
      <c r="A12" s="316" t="s">
        <v>600</v>
      </c>
      <c r="B12" s="317" t="s">
        <v>178</v>
      </c>
      <c r="C12" s="317" t="s">
        <v>327</v>
      </c>
      <c r="D12" s="317" t="s">
        <v>1008</v>
      </c>
      <c r="E12" s="317" t="s">
        <v>1173</v>
      </c>
      <c r="F12" s="312">
        <v>3413923</v>
      </c>
      <c r="G12" s="312">
        <v>3413923</v>
      </c>
      <c r="H12" s="123" t="str">
        <f t="shared" si="0"/>
        <v>01038020000000</v>
      </c>
    </row>
    <row r="13" spans="1:9" ht="51">
      <c r="A13" s="316" t="s">
        <v>328</v>
      </c>
      <c r="B13" s="317" t="s">
        <v>178</v>
      </c>
      <c r="C13" s="317" t="s">
        <v>327</v>
      </c>
      <c r="D13" s="317" t="s">
        <v>638</v>
      </c>
      <c r="E13" s="317" t="s">
        <v>1173</v>
      </c>
      <c r="F13" s="312">
        <v>3313923</v>
      </c>
      <c r="G13" s="312">
        <v>3313923</v>
      </c>
      <c r="H13" s="123" t="str">
        <f t="shared" si="0"/>
        <v>01038020060000</v>
      </c>
    </row>
    <row r="14" spans="1:9" ht="76.5">
      <c r="A14" s="316" t="s">
        <v>1318</v>
      </c>
      <c r="B14" s="317" t="s">
        <v>178</v>
      </c>
      <c r="C14" s="317" t="s">
        <v>327</v>
      </c>
      <c r="D14" s="317" t="s">
        <v>638</v>
      </c>
      <c r="E14" s="317" t="s">
        <v>273</v>
      </c>
      <c r="F14" s="312">
        <v>2790173</v>
      </c>
      <c r="G14" s="312">
        <v>2790173</v>
      </c>
      <c r="H14" s="123" t="str">
        <f t="shared" si="0"/>
        <v>01038020060000100</v>
      </c>
    </row>
    <row r="15" spans="1:9" ht="38.25">
      <c r="A15" s="316" t="s">
        <v>1203</v>
      </c>
      <c r="B15" s="317" t="s">
        <v>178</v>
      </c>
      <c r="C15" s="317" t="s">
        <v>327</v>
      </c>
      <c r="D15" s="317" t="s">
        <v>638</v>
      </c>
      <c r="E15" s="317" t="s">
        <v>28</v>
      </c>
      <c r="F15" s="312">
        <v>2790173</v>
      </c>
      <c r="G15" s="312">
        <v>2790173</v>
      </c>
      <c r="H15" s="123" t="str">
        <f t="shared" si="0"/>
        <v>01038020060000120</v>
      </c>
    </row>
    <row r="16" spans="1:9" ht="25.5">
      <c r="A16" s="316" t="s">
        <v>953</v>
      </c>
      <c r="B16" s="317" t="s">
        <v>178</v>
      </c>
      <c r="C16" s="317" t="s">
        <v>327</v>
      </c>
      <c r="D16" s="317" t="s">
        <v>638</v>
      </c>
      <c r="E16" s="317" t="s">
        <v>324</v>
      </c>
      <c r="F16" s="312">
        <v>2122637</v>
      </c>
      <c r="G16" s="312">
        <v>2122637</v>
      </c>
      <c r="H16" s="123" t="str">
        <f t="shared" si="0"/>
        <v>01038020060000121</v>
      </c>
    </row>
    <row r="17" spans="1:8" ht="51">
      <c r="A17" s="316" t="s">
        <v>325</v>
      </c>
      <c r="B17" s="317" t="s">
        <v>178</v>
      </c>
      <c r="C17" s="317" t="s">
        <v>327</v>
      </c>
      <c r="D17" s="317" t="s">
        <v>638</v>
      </c>
      <c r="E17" s="317" t="s">
        <v>326</v>
      </c>
      <c r="F17" s="312">
        <v>26500</v>
      </c>
      <c r="G17" s="312">
        <v>26500</v>
      </c>
      <c r="H17" s="123" t="str">
        <f t="shared" si="0"/>
        <v>01038020060000122</v>
      </c>
    </row>
    <row r="18" spans="1:8" ht="63.75">
      <c r="A18" s="316" t="s">
        <v>1054</v>
      </c>
      <c r="B18" s="317" t="s">
        <v>178</v>
      </c>
      <c r="C18" s="317" t="s">
        <v>327</v>
      </c>
      <c r="D18" s="317" t="s">
        <v>638</v>
      </c>
      <c r="E18" s="317" t="s">
        <v>1055</v>
      </c>
      <c r="F18" s="312">
        <v>641036</v>
      </c>
      <c r="G18" s="312">
        <v>641036</v>
      </c>
      <c r="H18" s="123" t="str">
        <f t="shared" si="0"/>
        <v>01038020060000129</v>
      </c>
    </row>
    <row r="19" spans="1:8" ht="38.25">
      <c r="A19" s="316" t="s">
        <v>1319</v>
      </c>
      <c r="B19" s="317" t="s">
        <v>178</v>
      </c>
      <c r="C19" s="317" t="s">
        <v>327</v>
      </c>
      <c r="D19" s="317" t="s">
        <v>638</v>
      </c>
      <c r="E19" s="317" t="s">
        <v>1320</v>
      </c>
      <c r="F19" s="312">
        <v>523750</v>
      </c>
      <c r="G19" s="312">
        <v>523750</v>
      </c>
      <c r="H19" s="123" t="str">
        <f t="shared" si="0"/>
        <v>01038020060000200</v>
      </c>
    </row>
    <row r="20" spans="1:8" ht="38.25">
      <c r="A20" s="316" t="s">
        <v>1196</v>
      </c>
      <c r="B20" s="317" t="s">
        <v>178</v>
      </c>
      <c r="C20" s="317" t="s">
        <v>327</v>
      </c>
      <c r="D20" s="317" t="s">
        <v>638</v>
      </c>
      <c r="E20" s="317" t="s">
        <v>1197</v>
      </c>
      <c r="F20" s="312">
        <v>523750</v>
      </c>
      <c r="G20" s="312">
        <v>523750</v>
      </c>
      <c r="H20" s="123" t="str">
        <f t="shared" si="0"/>
        <v>01038020060000240</v>
      </c>
    </row>
    <row r="21" spans="1:8">
      <c r="A21" s="316" t="s">
        <v>1223</v>
      </c>
      <c r="B21" s="317" t="s">
        <v>178</v>
      </c>
      <c r="C21" s="317" t="s">
        <v>327</v>
      </c>
      <c r="D21" s="317" t="s">
        <v>638</v>
      </c>
      <c r="E21" s="317" t="s">
        <v>329</v>
      </c>
      <c r="F21" s="312">
        <v>523750</v>
      </c>
      <c r="G21" s="312">
        <v>523750</v>
      </c>
      <c r="H21" s="123" t="str">
        <f t="shared" si="0"/>
        <v>01038020060000244</v>
      </c>
    </row>
    <row r="22" spans="1:8" ht="76.5">
      <c r="A22" s="316" t="s">
        <v>558</v>
      </c>
      <c r="B22" s="317" t="s">
        <v>178</v>
      </c>
      <c r="C22" s="317" t="s">
        <v>327</v>
      </c>
      <c r="D22" s="317" t="s">
        <v>639</v>
      </c>
      <c r="E22" s="317" t="s">
        <v>1173</v>
      </c>
      <c r="F22" s="312">
        <v>100000</v>
      </c>
      <c r="G22" s="312">
        <v>100000</v>
      </c>
      <c r="H22" s="123" t="str">
        <f t="shared" si="0"/>
        <v>01038020067000</v>
      </c>
    </row>
    <row r="23" spans="1:8" ht="76.5">
      <c r="A23" s="316" t="s">
        <v>1318</v>
      </c>
      <c r="B23" s="317" t="s">
        <v>178</v>
      </c>
      <c r="C23" s="317" t="s">
        <v>327</v>
      </c>
      <c r="D23" s="317" t="s">
        <v>639</v>
      </c>
      <c r="E23" s="317" t="s">
        <v>273</v>
      </c>
      <c r="F23" s="312">
        <v>100000</v>
      </c>
      <c r="G23" s="312">
        <v>100000</v>
      </c>
      <c r="H23" s="123" t="str">
        <f t="shared" si="0"/>
        <v>01038020067000100</v>
      </c>
    </row>
    <row r="24" spans="1:8" ht="38.25">
      <c r="A24" s="316" t="s">
        <v>1203</v>
      </c>
      <c r="B24" s="317" t="s">
        <v>178</v>
      </c>
      <c r="C24" s="317" t="s">
        <v>327</v>
      </c>
      <c r="D24" s="317" t="s">
        <v>639</v>
      </c>
      <c r="E24" s="317" t="s">
        <v>28</v>
      </c>
      <c r="F24" s="312">
        <v>100000</v>
      </c>
      <c r="G24" s="312">
        <v>100000</v>
      </c>
      <c r="H24" s="123" t="str">
        <f t="shared" si="0"/>
        <v>01038020067000120</v>
      </c>
    </row>
    <row r="25" spans="1:8" ht="51">
      <c r="A25" s="316" t="s">
        <v>325</v>
      </c>
      <c r="B25" s="317" t="s">
        <v>178</v>
      </c>
      <c r="C25" s="317" t="s">
        <v>327</v>
      </c>
      <c r="D25" s="317" t="s">
        <v>639</v>
      </c>
      <c r="E25" s="317" t="s">
        <v>326</v>
      </c>
      <c r="F25" s="312">
        <v>100000</v>
      </c>
      <c r="G25" s="312">
        <v>100000</v>
      </c>
      <c r="H25" s="123" t="str">
        <f t="shared" si="0"/>
        <v>01038020067000122</v>
      </c>
    </row>
    <row r="26" spans="1:8" ht="63.75">
      <c r="A26" s="316" t="s">
        <v>330</v>
      </c>
      <c r="B26" s="317" t="s">
        <v>178</v>
      </c>
      <c r="C26" s="317" t="s">
        <v>327</v>
      </c>
      <c r="D26" s="317" t="s">
        <v>1009</v>
      </c>
      <c r="E26" s="317" t="s">
        <v>1173</v>
      </c>
      <c r="F26" s="312">
        <v>3860247</v>
      </c>
      <c r="G26" s="312">
        <v>3860247</v>
      </c>
      <c r="H26" s="123" t="str">
        <f t="shared" si="0"/>
        <v>01038030000000</v>
      </c>
    </row>
    <row r="27" spans="1:8" ht="63.75">
      <c r="A27" s="316" t="s">
        <v>330</v>
      </c>
      <c r="B27" s="317" t="s">
        <v>178</v>
      </c>
      <c r="C27" s="317" t="s">
        <v>327</v>
      </c>
      <c r="D27" s="317" t="s">
        <v>640</v>
      </c>
      <c r="E27" s="317" t="s">
        <v>1173</v>
      </c>
      <c r="F27" s="312">
        <v>3810247</v>
      </c>
      <c r="G27" s="312">
        <v>3810247</v>
      </c>
      <c r="H27" s="123" t="str">
        <f t="shared" si="0"/>
        <v>01038030060000</v>
      </c>
    </row>
    <row r="28" spans="1:8" ht="76.5">
      <c r="A28" s="316" t="s">
        <v>1318</v>
      </c>
      <c r="B28" s="317" t="s">
        <v>178</v>
      </c>
      <c r="C28" s="317" t="s">
        <v>327</v>
      </c>
      <c r="D28" s="317" t="s">
        <v>640</v>
      </c>
      <c r="E28" s="317" t="s">
        <v>273</v>
      </c>
      <c r="F28" s="312">
        <v>3810247</v>
      </c>
      <c r="G28" s="312">
        <v>3810247</v>
      </c>
      <c r="H28" s="123" t="str">
        <f t="shared" si="0"/>
        <v>01038030060000100</v>
      </c>
    </row>
    <row r="29" spans="1:8" ht="38.25">
      <c r="A29" s="316" t="s">
        <v>1203</v>
      </c>
      <c r="B29" s="317" t="s">
        <v>178</v>
      </c>
      <c r="C29" s="317" t="s">
        <v>327</v>
      </c>
      <c r="D29" s="317" t="s">
        <v>640</v>
      </c>
      <c r="E29" s="317" t="s">
        <v>28</v>
      </c>
      <c r="F29" s="312">
        <v>3810247</v>
      </c>
      <c r="G29" s="312">
        <v>3810247</v>
      </c>
      <c r="H29" s="123" t="str">
        <f t="shared" si="0"/>
        <v>01038030060000120</v>
      </c>
    </row>
    <row r="30" spans="1:8" ht="25.5">
      <c r="A30" s="316" t="s">
        <v>953</v>
      </c>
      <c r="B30" s="317" t="s">
        <v>178</v>
      </c>
      <c r="C30" s="317" t="s">
        <v>327</v>
      </c>
      <c r="D30" s="317" t="s">
        <v>640</v>
      </c>
      <c r="E30" s="317" t="s">
        <v>324</v>
      </c>
      <c r="F30" s="312">
        <v>2694963</v>
      </c>
      <c r="G30" s="312">
        <v>2694963</v>
      </c>
      <c r="H30" s="123" t="str">
        <f t="shared" si="0"/>
        <v>01038030060000121</v>
      </c>
    </row>
    <row r="31" spans="1:8" ht="51">
      <c r="A31" s="316" t="s">
        <v>325</v>
      </c>
      <c r="B31" s="317" t="s">
        <v>178</v>
      </c>
      <c r="C31" s="317" t="s">
        <v>327</v>
      </c>
      <c r="D31" s="317" t="s">
        <v>640</v>
      </c>
      <c r="E31" s="317" t="s">
        <v>326</v>
      </c>
      <c r="F31" s="312">
        <v>56200</v>
      </c>
      <c r="G31" s="312">
        <v>56200</v>
      </c>
      <c r="H31" s="123" t="str">
        <f t="shared" si="0"/>
        <v>01038030060000122</v>
      </c>
    </row>
    <row r="32" spans="1:8" ht="38.25">
      <c r="A32" s="316" t="s">
        <v>1942</v>
      </c>
      <c r="B32" s="317" t="s">
        <v>178</v>
      </c>
      <c r="C32" s="317" t="s">
        <v>327</v>
      </c>
      <c r="D32" s="317" t="s">
        <v>640</v>
      </c>
      <c r="E32" s="317" t="s">
        <v>496</v>
      </c>
      <c r="F32" s="312">
        <v>264000</v>
      </c>
      <c r="G32" s="312">
        <v>264000</v>
      </c>
      <c r="H32" s="123" t="str">
        <f t="shared" si="0"/>
        <v>01038030060000123</v>
      </c>
    </row>
    <row r="33" spans="1:8" ht="63.75">
      <c r="A33" s="316" t="s">
        <v>1054</v>
      </c>
      <c r="B33" s="317" t="s">
        <v>178</v>
      </c>
      <c r="C33" s="317" t="s">
        <v>327</v>
      </c>
      <c r="D33" s="317" t="s">
        <v>640</v>
      </c>
      <c r="E33" s="317" t="s">
        <v>1055</v>
      </c>
      <c r="F33" s="312">
        <v>795084</v>
      </c>
      <c r="G33" s="312">
        <v>795084</v>
      </c>
      <c r="H33" s="123" t="str">
        <f t="shared" si="0"/>
        <v>01038030060000129</v>
      </c>
    </row>
    <row r="34" spans="1:8" ht="76.5">
      <c r="A34" s="316" t="s">
        <v>1136</v>
      </c>
      <c r="B34" s="317" t="s">
        <v>178</v>
      </c>
      <c r="C34" s="317" t="s">
        <v>327</v>
      </c>
      <c r="D34" s="317" t="s">
        <v>641</v>
      </c>
      <c r="E34" s="317" t="s">
        <v>1173</v>
      </c>
      <c r="F34" s="312">
        <v>50000</v>
      </c>
      <c r="G34" s="312">
        <v>50000</v>
      </c>
      <c r="H34" s="123" t="str">
        <f t="shared" si="0"/>
        <v>01038030067000</v>
      </c>
    </row>
    <row r="35" spans="1:8" ht="76.5">
      <c r="A35" s="316" t="s">
        <v>1318</v>
      </c>
      <c r="B35" s="317" t="s">
        <v>178</v>
      </c>
      <c r="C35" s="317" t="s">
        <v>327</v>
      </c>
      <c r="D35" s="317" t="s">
        <v>641</v>
      </c>
      <c r="E35" s="317" t="s">
        <v>273</v>
      </c>
      <c r="F35" s="312">
        <v>50000</v>
      </c>
      <c r="G35" s="312">
        <v>50000</v>
      </c>
      <c r="H35" s="123" t="str">
        <f t="shared" si="0"/>
        <v>01038030067000100</v>
      </c>
    </row>
    <row r="36" spans="1:8" ht="38.25">
      <c r="A36" s="316" t="s">
        <v>1203</v>
      </c>
      <c r="B36" s="317" t="s">
        <v>178</v>
      </c>
      <c r="C36" s="317" t="s">
        <v>327</v>
      </c>
      <c r="D36" s="317" t="s">
        <v>641</v>
      </c>
      <c r="E36" s="317" t="s">
        <v>28</v>
      </c>
      <c r="F36" s="312">
        <v>50000</v>
      </c>
      <c r="G36" s="312">
        <v>50000</v>
      </c>
      <c r="H36" s="123" t="str">
        <f t="shared" si="0"/>
        <v>01038030067000120</v>
      </c>
    </row>
    <row r="37" spans="1:8" ht="51">
      <c r="A37" s="316" t="s">
        <v>325</v>
      </c>
      <c r="B37" s="317" t="s">
        <v>178</v>
      </c>
      <c r="C37" s="317" t="s">
        <v>327</v>
      </c>
      <c r="D37" s="317" t="s">
        <v>641</v>
      </c>
      <c r="E37" s="317" t="s">
        <v>326</v>
      </c>
      <c r="F37" s="312">
        <v>50000</v>
      </c>
      <c r="G37" s="312">
        <v>50000</v>
      </c>
      <c r="H37" s="123" t="str">
        <f t="shared" si="0"/>
        <v>01038030067000122</v>
      </c>
    </row>
    <row r="38" spans="1:8" ht="25.5">
      <c r="A38" s="316" t="s">
        <v>180</v>
      </c>
      <c r="B38" s="317" t="s">
        <v>179</v>
      </c>
      <c r="C38" s="317" t="s">
        <v>1173</v>
      </c>
      <c r="D38" s="317" t="s">
        <v>1173</v>
      </c>
      <c r="E38" s="317" t="s">
        <v>1173</v>
      </c>
      <c r="F38" s="312">
        <v>2324622</v>
      </c>
      <c r="G38" s="312">
        <v>2324622</v>
      </c>
      <c r="H38" s="123" t="str">
        <f t="shared" si="0"/>
        <v/>
      </c>
    </row>
    <row r="39" spans="1:8">
      <c r="A39" s="316" t="s">
        <v>234</v>
      </c>
      <c r="B39" s="317" t="s">
        <v>179</v>
      </c>
      <c r="C39" s="317" t="s">
        <v>1135</v>
      </c>
      <c r="D39" s="317" t="s">
        <v>1173</v>
      </c>
      <c r="E39" s="317" t="s">
        <v>1173</v>
      </c>
      <c r="F39" s="312">
        <v>2324622</v>
      </c>
      <c r="G39" s="312">
        <v>2324622</v>
      </c>
      <c r="H39" s="123" t="str">
        <f t="shared" si="0"/>
        <v>0100</v>
      </c>
    </row>
    <row r="40" spans="1:8" ht="51">
      <c r="A40" s="316" t="s">
        <v>216</v>
      </c>
      <c r="B40" s="317" t="s">
        <v>179</v>
      </c>
      <c r="C40" s="317" t="s">
        <v>331</v>
      </c>
      <c r="D40" s="317" t="s">
        <v>1173</v>
      </c>
      <c r="E40" s="317" t="s">
        <v>1173</v>
      </c>
      <c r="F40" s="312">
        <v>2324622</v>
      </c>
      <c r="G40" s="312">
        <v>2324622</v>
      </c>
      <c r="H40" s="123" t="str">
        <f t="shared" si="0"/>
        <v>0106</v>
      </c>
    </row>
    <row r="41" spans="1:8" ht="38.25">
      <c r="A41" s="316" t="s">
        <v>599</v>
      </c>
      <c r="B41" s="317" t="s">
        <v>179</v>
      </c>
      <c r="C41" s="317" t="s">
        <v>331</v>
      </c>
      <c r="D41" s="317" t="s">
        <v>1006</v>
      </c>
      <c r="E41" s="317" t="s">
        <v>1173</v>
      </c>
      <c r="F41" s="312">
        <v>2324622</v>
      </c>
      <c r="G41" s="312">
        <v>2324622</v>
      </c>
      <c r="H41" s="123" t="str">
        <f t="shared" si="0"/>
        <v>01068000000000</v>
      </c>
    </row>
    <row r="42" spans="1:8" ht="51">
      <c r="A42" s="316" t="s">
        <v>600</v>
      </c>
      <c r="B42" s="317" t="s">
        <v>179</v>
      </c>
      <c r="C42" s="317" t="s">
        <v>331</v>
      </c>
      <c r="D42" s="317" t="s">
        <v>1008</v>
      </c>
      <c r="E42" s="317" t="s">
        <v>1173</v>
      </c>
      <c r="F42" s="312">
        <v>1036176</v>
      </c>
      <c r="G42" s="312">
        <v>1036176</v>
      </c>
      <c r="H42" s="123" t="str">
        <f t="shared" si="0"/>
        <v>01068020000000</v>
      </c>
    </row>
    <row r="43" spans="1:8" ht="51">
      <c r="A43" s="316" t="s">
        <v>328</v>
      </c>
      <c r="B43" s="317" t="s">
        <v>179</v>
      </c>
      <c r="C43" s="317" t="s">
        <v>331</v>
      </c>
      <c r="D43" s="317" t="s">
        <v>638</v>
      </c>
      <c r="E43" s="317" t="s">
        <v>1173</v>
      </c>
      <c r="F43" s="312">
        <v>996176</v>
      </c>
      <c r="G43" s="312">
        <v>996176</v>
      </c>
      <c r="H43" s="123" t="str">
        <f t="shared" si="0"/>
        <v>01068020060000</v>
      </c>
    </row>
    <row r="44" spans="1:8" ht="76.5">
      <c r="A44" s="316" t="s">
        <v>1318</v>
      </c>
      <c r="B44" s="317" t="s">
        <v>179</v>
      </c>
      <c r="C44" s="317" t="s">
        <v>331</v>
      </c>
      <c r="D44" s="317" t="s">
        <v>638</v>
      </c>
      <c r="E44" s="317" t="s">
        <v>273</v>
      </c>
      <c r="F44" s="312">
        <v>937424</v>
      </c>
      <c r="G44" s="312">
        <v>937424</v>
      </c>
      <c r="H44" s="123" t="str">
        <f t="shared" si="0"/>
        <v>01068020060000100</v>
      </c>
    </row>
    <row r="45" spans="1:8" ht="38.25">
      <c r="A45" s="316" t="s">
        <v>1203</v>
      </c>
      <c r="B45" s="317" t="s">
        <v>179</v>
      </c>
      <c r="C45" s="317" t="s">
        <v>331</v>
      </c>
      <c r="D45" s="317" t="s">
        <v>638</v>
      </c>
      <c r="E45" s="317" t="s">
        <v>28</v>
      </c>
      <c r="F45" s="312">
        <v>937424</v>
      </c>
      <c r="G45" s="312">
        <v>937424</v>
      </c>
      <c r="H45" s="123" t="str">
        <f t="shared" si="0"/>
        <v>01068020060000120</v>
      </c>
    </row>
    <row r="46" spans="1:8" ht="25.5">
      <c r="A46" s="316" t="s">
        <v>953</v>
      </c>
      <c r="B46" s="317" t="s">
        <v>179</v>
      </c>
      <c r="C46" s="317" t="s">
        <v>331</v>
      </c>
      <c r="D46" s="317" t="s">
        <v>638</v>
      </c>
      <c r="E46" s="317" t="s">
        <v>324</v>
      </c>
      <c r="F46" s="312">
        <v>707545</v>
      </c>
      <c r="G46" s="312">
        <v>707545</v>
      </c>
      <c r="H46" s="123" t="str">
        <f t="shared" si="0"/>
        <v>01068020060000121</v>
      </c>
    </row>
    <row r="47" spans="1:8" ht="51">
      <c r="A47" s="316" t="s">
        <v>325</v>
      </c>
      <c r="B47" s="317" t="s">
        <v>179</v>
      </c>
      <c r="C47" s="317" t="s">
        <v>331</v>
      </c>
      <c r="D47" s="317" t="s">
        <v>638</v>
      </c>
      <c r="E47" s="317" t="s">
        <v>326</v>
      </c>
      <c r="F47" s="312">
        <v>16200</v>
      </c>
      <c r="G47" s="312">
        <v>16200</v>
      </c>
      <c r="H47" s="123" t="str">
        <f t="shared" si="0"/>
        <v>01068020060000122</v>
      </c>
    </row>
    <row r="48" spans="1:8" ht="63.75">
      <c r="A48" s="316" t="s">
        <v>1054</v>
      </c>
      <c r="B48" s="317" t="s">
        <v>179</v>
      </c>
      <c r="C48" s="317" t="s">
        <v>331</v>
      </c>
      <c r="D48" s="317" t="s">
        <v>638</v>
      </c>
      <c r="E48" s="317" t="s">
        <v>1055</v>
      </c>
      <c r="F48" s="312">
        <v>213679</v>
      </c>
      <c r="G48" s="312">
        <v>213679</v>
      </c>
      <c r="H48" s="123" t="str">
        <f t="shared" si="0"/>
        <v>01068020060000129</v>
      </c>
    </row>
    <row r="49" spans="1:8" ht="38.25">
      <c r="A49" s="316" t="s">
        <v>1319</v>
      </c>
      <c r="B49" s="317" t="s">
        <v>179</v>
      </c>
      <c r="C49" s="317" t="s">
        <v>331</v>
      </c>
      <c r="D49" s="317" t="s">
        <v>638</v>
      </c>
      <c r="E49" s="317" t="s">
        <v>1320</v>
      </c>
      <c r="F49" s="312">
        <v>58752</v>
      </c>
      <c r="G49" s="312">
        <v>58752</v>
      </c>
      <c r="H49" s="123" t="str">
        <f t="shared" si="0"/>
        <v>01068020060000200</v>
      </c>
    </row>
    <row r="50" spans="1:8" ht="38.25">
      <c r="A50" s="316" t="s">
        <v>1196</v>
      </c>
      <c r="B50" s="317" t="s">
        <v>179</v>
      </c>
      <c r="C50" s="317" t="s">
        <v>331</v>
      </c>
      <c r="D50" s="317" t="s">
        <v>638</v>
      </c>
      <c r="E50" s="317" t="s">
        <v>1197</v>
      </c>
      <c r="F50" s="312">
        <v>58752</v>
      </c>
      <c r="G50" s="312">
        <v>58752</v>
      </c>
      <c r="H50" s="123" t="str">
        <f t="shared" si="0"/>
        <v>01068020060000240</v>
      </c>
    </row>
    <row r="51" spans="1:8">
      <c r="A51" s="316" t="s">
        <v>1223</v>
      </c>
      <c r="B51" s="317" t="s">
        <v>179</v>
      </c>
      <c r="C51" s="317" t="s">
        <v>331</v>
      </c>
      <c r="D51" s="317" t="s">
        <v>638</v>
      </c>
      <c r="E51" s="317" t="s">
        <v>329</v>
      </c>
      <c r="F51" s="312">
        <v>58752</v>
      </c>
      <c r="G51" s="312">
        <v>58752</v>
      </c>
      <c r="H51" s="123" t="str">
        <f t="shared" si="0"/>
        <v>01068020060000244</v>
      </c>
    </row>
    <row r="52" spans="1:8" ht="76.5">
      <c r="A52" s="316" t="s">
        <v>558</v>
      </c>
      <c r="B52" s="317" t="s">
        <v>179</v>
      </c>
      <c r="C52" s="317" t="s">
        <v>331</v>
      </c>
      <c r="D52" s="317" t="s">
        <v>639</v>
      </c>
      <c r="E52" s="317" t="s">
        <v>1173</v>
      </c>
      <c r="F52" s="312">
        <v>40000</v>
      </c>
      <c r="G52" s="312">
        <v>40000</v>
      </c>
      <c r="H52" s="123" t="str">
        <f t="shared" si="0"/>
        <v>01068020067000</v>
      </c>
    </row>
    <row r="53" spans="1:8" ht="76.5">
      <c r="A53" s="316" t="s">
        <v>1318</v>
      </c>
      <c r="B53" s="317" t="s">
        <v>179</v>
      </c>
      <c r="C53" s="317" t="s">
        <v>331</v>
      </c>
      <c r="D53" s="317" t="s">
        <v>639</v>
      </c>
      <c r="E53" s="317" t="s">
        <v>273</v>
      </c>
      <c r="F53" s="312">
        <v>40000</v>
      </c>
      <c r="G53" s="312">
        <v>40000</v>
      </c>
      <c r="H53" s="123" t="str">
        <f t="shared" si="0"/>
        <v>01068020067000100</v>
      </c>
    </row>
    <row r="54" spans="1:8" ht="38.25">
      <c r="A54" s="316" t="s">
        <v>1203</v>
      </c>
      <c r="B54" s="317" t="s">
        <v>179</v>
      </c>
      <c r="C54" s="317" t="s">
        <v>331</v>
      </c>
      <c r="D54" s="317" t="s">
        <v>639</v>
      </c>
      <c r="E54" s="317" t="s">
        <v>28</v>
      </c>
      <c r="F54" s="312">
        <v>40000</v>
      </c>
      <c r="G54" s="312">
        <v>40000</v>
      </c>
      <c r="H54" s="123" t="str">
        <f t="shared" si="0"/>
        <v>01068020067000120</v>
      </c>
    </row>
    <row r="55" spans="1:8" ht="51">
      <c r="A55" s="316" t="s">
        <v>325</v>
      </c>
      <c r="B55" s="317" t="s">
        <v>179</v>
      </c>
      <c r="C55" s="317" t="s">
        <v>331</v>
      </c>
      <c r="D55" s="317" t="s">
        <v>639</v>
      </c>
      <c r="E55" s="317" t="s">
        <v>326</v>
      </c>
      <c r="F55" s="312">
        <v>40000</v>
      </c>
      <c r="G55" s="312">
        <v>40000</v>
      </c>
      <c r="H55" s="123" t="str">
        <f t="shared" si="0"/>
        <v>01068020067000122</v>
      </c>
    </row>
    <row r="56" spans="1:8" ht="76.5">
      <c r="A56" s="316" t="s">
        <v>332</v>
      </c>
      <c r="B56" s="317" t="s">
        <v>179</v>
      </c>
      <c r="C56" s="317" t="s">
        <v>331</v>
      </c>
      <c r="D56" s="317" t="s">
        <v>1010</v>
      </c>
      <c r="E56" s="317" t="s">
        <v>1173</v>
      </c>
      <c r="F56" s="312">
        <v>1288446</v>
      </c>
      <c r="G56" s="312">
        <v>1288446</v>
      </c>
      <c r="H56" s="123" t="str">
        <f t="shared" si="0"/>
        <v>01068040000000</v>
      </c>
    </row>
    <row r="57" spans="1:8" ht="76.5">
      <c r="A57" s="316" t="s">
        <v>332</v>
      </c>
      <c r="B57" s="317" t="s">
        <v>179</v>
      </c>
      <c r="C57" s="317" t="s">
        <v>331</v>
      </c>
      <c r="D57" s="317" t="s">
        <v>642</v>
      </c>
      <c r="E57" s="317" t="s">
        <v>1173</v>
      </c>
      <c r="F57" s="312">
        <v>1248446</v>
      </c>
      <c r="G57" s="312">
        <v>1248446</v>
      </c>
      <c r="H57" s="123" t="str">
        <f t="shared" si="0"/>
        <v>01068040060000</v>
      </c>
    </row>
    <row r="58" spans="1:8" ht="76.5">
      <c r="A58" s="316" t="s">
        <v>1318</v>
      </c>
      <c r="B58" s="317" t="s">
        <v>179</v>
      </c>
      <c r="C58" s="317" t="s">
        <v>331</v>
      </c>
      <c r="D58" s="317" t="s">
        <v>642</v>
      </c>
      <c r="E58" s="317" t="s">
        <v>273</v>
      </c>
      <c r="F58" s="312">
        <v>1248446</v>
      </c>
      <c r="G58" s="312">
        <v>1248446</v>
      </c>
      <c r="H58" s="123" t="str">
        <f t="shared" si="0"/>
        <v>01068040060000100</v>
      </c>
    </row>
    <row r="59" spans="1:8" ht="38.25">
      <c r="A59" s="316" t="s">
        <v>1203</v>
      </c>
      <c r="B59" s="317" t="s">
        <v>179</v>
      </c>
      <c r="C59" s="317" t="s">
        <v>331</v>
      </c>
      <c r="D59" s="317" t="s">
        <v>642</v>
      </c>
      <c r="E59" s="317" t="s">
        <v>28</v>
      </c>
      <c r="F59" s="312">
        <v>1248446</v>
      </c>
      <c r="G59" s="312">
        <v>1248446</v>
      </c>
      <c r="H59" s="123" t="str">
        <f t="shared" si="0"/>
        <v>01068040060000120</v>
      </c>
    </row>
    <row r="60" spans="1:8" ht="25.5">
      <c r="A60" s="316" t="s">
        <v>953</v>
      </c>
      <c r="B60" s="317" t="s">
        <v>179</v>
      </c>
      <c r="C60" s="317" t="s">
        <v>331</v>
      </c>
      <c r="D60" s="317" t="s">
        <v>642</v>
      </c>
      <c r="E60" s="317" t="s">
        <v>324</v>
      </c>
      <c r="F60" s="312">
        <v>946426</v>
      </c>
      <c r="G60" s="312">
        <v>946426</v>
      </c>
      <c r="H60" s="123" t="str">
        <f t="shared" si="0"/>
        <v>01068040060000121</v>
      </c>
    </row>
    <row r="61" spans="1:8" ht="51">
      <c r="A61" s="316" t="s">
        <v>325</v>
      </c>
      <c r="B61" s="317" t="s">
        <v>179</v>
      </c>
      <c r="C61" s="317" t="s">
        <v>331</v>
      </c>
      <c r="D61" s="317" t="s">
        <v>642</v>
      </c>
      <c r="E61" s="317" t="s">
        <v>326</v>
      </c>
      <c r="F61" s="312">
        <v>16200</v>
      </c>
      <c r="G61" s="312">
        <v>16200</v>
      </c>
      <c r="H61" s="123" t="str">
        <f t="shared" si="0"/>
        <v>01068040060000122</v>
      </c>
    </row>
    <row r="62" spans="1:8" ht="63.75">
      <c r="A62" s="316" t="s">
        <v>1054</v>
      </c>
      <c r="B62" s="317" t="s">
        <v>179</v>
      </c>
      <c r="C62" s="317" t="s">
        <v>331</v>
      </c>
      <c r="D62" s="317" t="s">
        <v>642</v>
      </c>
      <c r="E62" s="317" t="s">
        <v>1055</v>
      </c>
      <c r="F62" s="312">
        <v>285820</v>
      </c>
      <c r="G62" s="312">
        <v>285820</v>
      </c>
      <c r="H62" s="123" t="str">
        <f t="shared" si="0"/>
        <v>01068040060000129</v>
      </c>
    </row>
    <row r="63" spans="1:8" ht="89.25">
      <c r="A63" s="316" t="s">
        <v>559</v>
      </c>
      <c r="B63" s="317" t="s">
        <v>179</v>
      </c>
      <c r="C63" s="317" t="s">
        <v>331</v>
      </c>
      <c r="D63" s="317" t="s">
        <v>643</v>
      </c>
      <c r="E63" s="317" t="s">
        <v>1173</v>
      </c>
      <c r="F63" s="312">
        <v>40000</v>
      </c>
      <c r="G63" s="312">
        <v>40000</v>
      </c>
      <c r="H63" s="123" t="str">
        <f t="shared" si="0"/>
        <v>01068040067000</v>
      </c>
    </row>
    <row r="64" spans="1:8" ht="76.5">
      <c r="A64" s="316" t="s">
        <v>1318</v>
      </c>
      <c r="B64" s="317" t="s">
        <v>179</v>
      </c>
      <c r="C64" s="317" t="s">
        <v>331</v>
      </c>
      <c r="D64" s="317" t="s">
        <v>643</v>
      </c>
      <c r="E64" s="317" t="s">
        <v>273</v>
      </c>
      <c r="F64" s="312">
        <v>40000</v>
      </c>
      <c r="G64" s="312">
        <v>40000</v>
      </c>
      <c r="H64" s="123" t="str">
        <f t="shared" si="0"/>
        <v>01068040067000100</v>
      </c>
    </row>
    <row r="65" spans="1:8" ht="38.25">
      <c r="A65" s="316" t="s">
        <v>1203</v>
      </c>
      <c r="B65" s="317" t="s">
        <v>179</v>
      </c>
      <c r="C65" s="317" t="s">
        <v>331</v>
      </c>
      <c r="D65" s="317" t="s">
        <v>643</v>
      </c>
      <c r="E65" s="317" t="s">
        <v>28</v>
      </c>
      <c r="F65" s="312">
        <v>40000</v>
      </c>
      <c r="G65" s="312">
        <v>40000</v>
      </c>
      <c r="H65" s="123" t="str">
        <f t="shared" si="0"/>
        <v>01068040067000120</v>
      </c>
    </row>
    <row r="66" spans="1:8" ht="51">
      <c r="A66" s="316" t="s">
        <v>325</v>
      </c>
      <c r="B66" s="317" t="s">
        <v>179</v>
      </c>
      <c r="C66" s="317" t="s">
        <v>331</v>
      </c>
      <c r="D66" s="317" t="s">
        <v>643</v>
      </c>
      <c r="E66" s="317" t="s">
        <v>326</v>
      </c>
      <c r="F66" s="312">
        <v>40000</v>
      </c>
      <c r="G66" s="312">
        <v>40000</v>
      </c>
      <c r="H66" s="123" t="str">
        <f t="shared" si="0"/>
        <v>01068040067000122</v>
      </c>
    </row>
    <row r="67" spans="1:8">
      <c r="A67" s="316" t="s">
        <v>181</v>
      </c>
      <c r="B67" s="317" t="s">
        <v>5</v>
      </c>
      <c r="C67" s="317" t="s">
        <v>1173</v>
      </c>
      <c r="D67" s="317" t="s">
        <v>1173</v>
      </c>
      <c r="E67" s="317" t="s">
        <v>1173</v>
      </c>
      <c r="F67" s="312">
        <v>387469777</v>
      </c>
      <c r="G67" s="312">
        <v>401039287</v>
      </c>
      <c r="H67" s="123" t="str">
        <f t="shared" si="0"/>
        <v/>
      </c>
    </row>
    <row r="68" spans="1:8">
      <c r="A68" s="316" t="s">
        <v>234</v>
      </c>
      <c r="B68" s="317" t="s">
        <v>5</v>
      </c>
      <c r="C68" s="317" t="s">
        <v>1135</v>
      </c>
      <c r="D68" s="317" t="s">
        <v>1173</v>
      </c>
      <c r="E68" s="317" t="s">
        <v>1173</v>
      </c>
      <c r="F68" s="312">
        <v>73585749.859999999</v>
      </c>
      <c r="G68" s="312">
        <v>74153159.859999999</v>
      </c>
      <c r="H68" s="123" t="str">
        <f t="shared" si="0"/>
        <v>0100</v>
      </c>
    </row>
    <row r="69" spans="1:8" ht="51">
      <c r="A69" s="316" t="s">
        <v>1308</v>
      </c>
      <c r="B69" s="317" t="s">
        <v>5</v>
      </c>
      <c r="C69" s="317" t="s">
        <v>322</v>
      </c>
      <c r="D69" s="317" t="s">
        <v>1173</v>
      </c>
      <c r="E69" s="317" t="s">
        <v>1173</v>
      </c>
      <c r="F69" s="312">
        <v>2544341</v>
      </c>
      <c r="G69" s="312">
        <v>2544341</v>
      </c>
      <c r="H69" s="123" t="str">
        <f t="shared" si="0"/>
        <v>0102</v>
      </c>
    </row>
    <row r="70" spans="1:8" ht="38.25">
      <c r="A70" s="316" t="s">
        <v>599</v>
      </c>
      <c r="B70" s="317" t="s">
        <v>5</v>
      </c>
      <c r="C70" s="317" t="s">
        <v>322</v>
      </c>
      <c r="D70" s="317" t="s">
        <v>1006</v>
      </c>
      <c r="E70" s="317" t="s">
        <v>1173</v>
      </c>
      <c r="F70" s="312">
        <v>2544341</v>
      </c>
      <c r="G70" s="312">
        <v>2544341</v>
      </c>
      <c r="H70" s="123" t="str">
        <f t="shared" si="0"/>
        <v>01028000000000</v>
      </c>
    </row>
    <row r="71" spans="1:8" ht="63.75">
      <c r="A71" s="316" t="s">
        <v>323</v>
      </c>
      <c r="B71" s="317" t="s">
        <v>5</v>
      </c>
      <c r="C71" s="317" t="s">
        <v>322</v>
      </c>
      <c r="D71" s="317" t="s">
        <v>1007</v>
      </c>
      <c r="E71" s="317" t="s">
        <v>1173</v>
      </c>
      <c r="F71" s="312">
        <v>2544341</v>
      </c>
      <c r="G71" s="312">
        <v>2544341</v>
      </c>
      <c r="H71" s="123" t="str">
        <f t="shared" si="0"/>
        <v>01028010000000</v>
      </c>
    </row>
    <row r="72" spans="1:8" ht="63.75">
      <c r="A72" s="316" t="s">
        <v>323</v>
      </c>
      <c r="B72" s="317" t="s">
        <v>5</v>
      </c>
      <c r="C72" s="317" t="s">
        <v>322</v>
      </c>
      <c r="D72" s="317" t="s">
        <v>644</v>
      </c>
      <c r="E72" s="317" t="s">
        <v>1173</v>
      </c>
      <c r="F72" s="312">
        <v>2469341</v>
      </c>
      <c r="G72" s="312">
        <v>2469341</v>
      </c>
      <c r="H72" s="123" t="str">
        <f t="shared" si="0"/>
        <v>01028010060000</v>
      </c>
    </row>
    <row r="73" spans="1:8" ht="76.5">
      <c r="A73" s="316" t="s">
        <v>1318</v>
      </c>
      <c r="B73" s="317" t="s">
        <v>5</v>
      </c>
      <c r="C73" s="317" t="s">
        <v>322</v>
      </c>
      <c r="D73" s="317" t="s">
        <v>644</v>
      </c>
      <c r="E73" s="317" t="s">
        <v>273</v>
      </c>
      <c r="F73" s="312">
        <v>2469341</v>
      </c>
      <c r="G73" s="312">
        <v>2469341</v>
      </c>
      <c r="H73" s="123" t="str">
        <f t="shared" si="0"/>
        <v>01028010060000100</v>
      </c>
    </row>
    <row r="74" spans="1:8" ht="38.25">
      <c r="A74" s="316" t="s">
        <v>1203</v>
      </c>
      <c r="B74" s="317" t="s">
        <v>5</v>
      </c>
      <c r="C74" s="317" t="s">
        <v>322</v>
      </c>
      <c r="D74" s="317" t="s">
        <v>644</v>
      </c>
      <c r="E74" s="317" t="s">
        <v>28</v>
      </c>
      <c r="F74" s="312">
        <v>2469341</v>
      </c>
      <c r="G74" s="312">
        <v>2469341</v>
      </c>
      <c r="H74" s="123" t="str">
        <f t="shared" ref="H74:H131" si="1">CONCATENATE(C74,,D74,E74)</f>
        <v>01028010060000120</v>
      </c>
    </row>
    <row r="75" spans="1:8" ht="25.5">
      <c r="A75" s="316" t="s">
        <v>953</v>
      </c>
      <c r="B75" s="317" t="s">
        <v>5</v>
      </c>
      <c r="C75" s="317" t="s">
        <v>322</v>
      </c>
      <c r="D75" s="317" t="s">
        <v>644</v>
      </c>
      <c r="E75" s="317" t="s">
        <v>324</v>
      </c>
      <c r="F75" s="312">
        <v>1880185</v>
      </c>
      <c r="G75" s="312">
        <v>1880185</v>
      </c>
      <c r="H75" s="123" t="str">
        <f t="shared" si="1"/>
        <v>01028010060000121</v>
      </c>
    </row>
    <row r="76" spans="1:8" ht="51">
      <c r="A76" s="316" t="s">
        <v>325</v>
      </c>
      <c r="B76" s="317" t="s">
        <v>5</v>
      </c>
      <c r="C76" s="317" t="s">
        <v>322</v>
      </c>
      <c r="D76" s="317" t="s">
        <v>644</v>
      </c>
      <c r="E76" s="317" t="s">
        <v>326</v>
      </c>
      <c r="F76" s="312">
        <v>120000</v>
      </c>
      <c r="G76" s="312">
        <v>120000</v>
      </c>
      <c r="H76" s="123" t="str">
        <f t="shared" si="1"/>
        <v>01028010060000122</v>
      </c>
    </row>
    <row r="77" spans="1:8" ht="63.75">
      <c r="A77" s="316" t="s">
        <v>1054</v>
      </c>
      <c r="B77" s="317" t="s">
        <v>5</v>
      </c>
      <c r="C77" s="317" t="s">
        <v>322</v>
      </c>
      <c r="D77" s="317" t="s">
        <v>644</v>
      </c>
      <c r="E77" s="317" t="s">
        <v>1055</v>
      </c>
      <c r="F77" s="312">
        <v>469156</v>
      </c>
      <c r="G77" s="312">
        <v>469156</v>
      </c>
      <c r="H77" s="123" t="str">
        <f t="shared" si="1"/>
        <v>01028010060000129</v>
      </c>
    </row>
    <row r="78" spans="1:8" ht="76.5">
      <c r="A78" s="316" t="s">
        <v>1697</v>
      </c>
      <c r="B78" s="317" t="s">
        <v>5</v>
      </c>
      <c r="C78" s="317" t="s">
        <v>322</v>
      </c>
      <c r="D78" s="317" t="s">
        <v>1698</v>
      </c>
      <c r="E78" s="317" t="s">
        <v>1173</v>
      </c>
      <c r="F78" s="312">
        <v>75000</v>
      </c>
      <c r="G78" s="312">
        <v>75000</v>
      </c>
      <c r="H78" s="123" t="str">
        <f t="shared" si="1"/>
        <v>01028010067000</v>
      </c>
    </row>
    <row r="79" spans="1:8" ht="76.5">
      <c r="A79" s="316" t="s">
        <v>1318</v>
      </c>
      <c r="B79" s="317" t="s">
        <v>5</v>
      </c>
      <c r="C79" s="317" t="s">
        <v>322</v>
      </c>
      <c r="D79" s="317" t="s">
        <v>1698</v>
      </c>
      <c r="E79" s="317" t="s">
        <v>273</v>
      </c>
      <c r="F79" s="312">
        <v>75000</v>
      </c>
      <c r="G79" s="312">
        <v>75000</v>
      </c>
      <c r="H79" s="123" t="str">
        <f t="shared" si="1"/>
        <v>01028010067000100</v>
      </c>
    </row>
    <row r="80" spans="1:8" ht="38.25">
      <c r="A80" s="316" t="s">
        <v>1203</v>
      </c>
      <c r="B80" s="317" t="s">
        <v>5</v>
      </c>
      <c r="C80" s="317" t="s">
        <v>322</v>
      </c>
      <c r="D80" s="317" t="s">
        <v>1698</v>
      </c>
      <c r="E80" s="317" t="s">
        <v>28</v>
      </c>
      <c r="F80" s="312">
        <v>75000</v>
      </c>
      <c r="G80" s="312">
        <v>75000</v>
      </c>
      <c r="H80" s="123" t="str">
        <f t="shared" si="1"/>
        <v>01028010067000120</v>
      </c>
    </row>
    <row r="81" spans="1:8" ht="51">
      <c r="A81" s="316" t="s">
        <v>325</v>
      </c>
      <c r="B81" s="317" t="s">
        <v>5</v>
      </c>
      <c r="C81" s="317" t="s">
        <v>322</v>
      </c>
      <c r="D81" s="317" t="s">
        <v>1698</v>
      </c>
      <c r="E81" s="317" t="s">
        <v>326</v>
      </c>
      <c r="F81" s="312">
        <v>75000</v>
      </c>
      <c r="G81" s="312">
        <v>75000</v>
      </c>
      <c r="H81" s="123" t="str">
        <f t="shared" si="1"/>
        <v>01028010067000122</v>
      </c>
    </row>
    <row r="82" spans="1:8" ht="63.75">
      <c r="A82" s="316" t="s">
        <v>236</v>
      </c>
      <c r="B82" s="317" t="s">
        <v>5</v>
      </c>
      <c r="C82" s="317" t="s">
        <v>333</v>
      </c>
      <c r="D82" s="317" t="s">
        <v>1173</v>
      </c>
      <c r="E82" s="317" t="s">
        <v>1173</v>
      </c>
      <c r="F82" s="312">
        <v>70441508.859999999</v>
      </c>
      <c r="G82" s="312">
        <v>71009618.859999999</v>
      </c>
      <c r="H82" s="123" t="str">
        <f t="shared" si="1"/>
        <v>0104</v>
      </c>
    </row>
    <row r="83" spans="1:8" ht="63.75">
      <c r="A83" s="316" t="s">
        <v>1751</v>
      </c>
      <c r="B83" s="317" t="s">
        <v>5</v>
      </c>
      <c r="C83" s="317" t="s">
        <v>333</v>
      </c>
      <c r="D83" s="317" t="s">
        <v>978</v>
      </c>
      <c r="E83" s="317" t="s">
        <v>1173</v>
      </c>
      <c r="F83" s="312">
        <v>73395</v>
      </c>
      <c r="G83" s="312">
        <v>73395</v>
      </c>
      <c r="H83" s="123" t="str">
        <f t="shared" si="1"/>
        <v>01040400000000</v>
      </c>
    </row>
    <row r="84" spans="1:8" ht="25.5">
      <c r="A84" s="316" t="s">
        <v>459</v>
      </c>
      <c r="B84" s="317" t="s">
        <v>5</v>
      </c>
      <c r="C84" s="317" t="s">
        <v>333</v>
      </c>
      <c r="D84" s="317" t="s">
        <v>980</v>
      </c>
      <c r="E84" s="317" t="s">
        <v>1173</v>
      </c>
      <c r="F84" s="312">
        <v>73395</v>
      </c>
      <c r="G84" s="312">
        <v>73395</v>
      </c>
      <c r="H84" s="123" t="str">
        <f t="shared" si="1"/>
        <v>01040420000000</v>
      </c>
    </row>
    <row r="85" spans="1:8" ht="114.75">
      <c r="A85" s="316" t="s">
        <v>334</v>
      </c>
      <c r="B85" s="317" t="s">
        <v>5</v>
      </c>
      <c r="C85" s="317" t="s">
        <v>333</v>
      </c>
      <c r="D85" s="317" t="s">
        <v>645</v>
      </c>
      <c r="E85" s="317" t="s">
        <v>1173</v>
      </c>
      <c r="F85" s="312">
        <v>73395</v>
      </c>
      <c r="G85" s="312">
        <v>73395</v>
      </c>
      <c r="H85" s="123" t="str">
        <f t="shared" si="1"/>
        <v>01040420080040</v>
      </c>
    </row>
    <row r="86" spans="1:8" ht="38.25">
      <c r="A86" s="316" t="s">
        <v>1319</v>
      </c>
      <c r="B86" s="317" t="s">
        <v>5</v>
      </c>
      <c r="C86" s="317" t="s">
        <v>333</v>
      </c>
      <c r="D86" s="317" t="s">
        <v>645</v>
      </c>
      <c r="E86" s="317" t="s">
        <v>1320</v>
      </c>
      <c r="F86" s="312">
        <v>73395</v>
      </c>
      <c r="G86" s="312">
        <v>73395</v>
      </c>
      <c r="H86" s="123" t="str">
        <f t="shared" si="1"/>
        <v>01040420080040200</v>
      </c>
    </row>
    <row r="87" spans="1:8" ht="38.25">
      <c r="A87" s="316" t="s">
        <v>1196</v>
      </c>
      <c r="B87" s="317" t="s">
        <v>5</v>
      </c>
      <c r="C87" s="317" t="s">
        <v>333</v>
      </c>
      <c r="D87" s="317" t="s">
        <v>645</v>
      </c>
      <c r="E87" s="317" t="s">
        <v>1197</v>
      </c>
      <c r="F87" s="312">
        <v>73395</v>
      </c>
      <c r="G87" s="312">
        <v>73395</v>
      </c>
      <c r="H87" s="123" t="str">
        <f t="shared" si="1"/>
        <v>01040420080040240</v>
      </c>
    </row>
    <row r="88" spans="1:8">
      <c r="A88" s="316" t="s">
        <v>1223</v>
      </c>
      <c r="B88" s="317" t="s">
        <v>5</v>
      </c>
      <c r="C88" s="317" t="s">
        <v>333</v>
      </c>
      <c r="D88" s="317" t="s">
        <v>645</v>
      </c>
      <c r="E88" s="317" t="s">
        <v>329</v>
      </c>
      <c r="F88" s="312">
        <v>73395</v>
      </c>
      <c r="G88" s="312">
        <v>73395</v>
      </c>
      <c r="H88" s="123" t="str">
        <f t="shared" si="1"/>
        <v>01040420080040244</v>
      </c>
    </row>
    <row r="89" spans="1:8" ht="38.25">
      <c r="A89" s="316" t="s">
        <v>599</v>
      </c>
      <c r="B89" s="317" t="s">
        <v>5</v>
      </c>
      <c r="C89" s="317" t="s">
        <v>333</v>
      </c>
      <c r="D89" s="317" t="s">
        <v>1006</v>
      </c>
      <c r="E89" s="317" t="s">
        <v>1173</v>
      </c>
      <c r="F89" s="312">
        <v>70368113.859999999</v>
      </c>
      <c r="G89" s="312">
        <v>70936223.859999999</v>
      </c>
      <c r="H89" s="123" t="str">
        <f t="shared" si="1"/>
        <v>01048000000000</v>
      </c>
    </row>
    <row r="90" spans="1:8" ht="51">
      <c r="A90" s="316" t="s">
        <v>600</v>
      </c>
      <c r="B90" s="317" t="s">
        <v>5</v>
      </c>
      <c r="C90" s="317" t="s">
        <v>333</v>
      </c>
      <c r="D90" s="317" t="s">
        <v>1008</v>
      </c>
      <c r="E90" s="317" t="s">
        <v>1173</v>
      </c>
      <c r="F90" s="312">
        <v>70368113.859999999</v>
      </c>
      <c r="G90" s="312">
        <v>70936223.859999999</v>
      </c>
      <c r="H90" s="123" t="str">
        <f t="shared" si="1"/>
        <v>01048020000000</v>
      </c>
    </row>
    <row r="91" spans="1:8" ht="51">
      <c r="A91" s="316" t="s">
        <v>328</v>
      </c>
      <c r="B91" s="317" t="s">
        <v>5</v>
      </c>
      <c r="C91" s="317" t="s">
        <v>333</v>
      </c>
      <c r="D91" s="317" t="s">
        <v>638</v>
      </c>
      <c r="E91" s="317" t="s">
        <v>1173</v>
      </c>
      <c r="F91" s="312">
        <v>51443311.859999999</v>
      </c>
      <c r="G91" s="312">
        <v>52011421.859999999</v>
      </c>
      <c r="H91" s="123" t="str">
        <f t="shared" si="1"/>
        <v>01048020060000</v>
      </c>
    </row>
    <row r="92" spans="1:8" ht="76.5">
      <c r="A92" s="316" t="s">
        <v>1318</v>
      </c>
      <c r="B92" s="317" t="s">
        <v>5</v>
      </c>
      <c r="C92" s="317" t="s">
        <v>333</v>
      </c>
      <c r="D92" s="317" t="s">
        <v>638</v>
      </c>
      <c r="E92" s="317" t="s">
        <v>273</v>
      </c>
      <c r="F92" s="312">
        <v>42808726</v>
      </c>
      <c r="G92" s="312">
        <v>42808726</v>
      </c>
      <c r="H92" s="123" t="str">
        <f t="shared" si="1"/>
        <v>01048020060000100</v>
      </c>
    </row>
    <row r="93" spans="1:8" ht="38.25">
      <c r="A93" s="316" t="s">
        <v>1203</v>
      </c>
      <c r="B93" s="317" t="s">
        <v>5</v>
      </c>
      <c r="C93" s="317" t="s">
        <v>333</v>
      </c>
      <c r="D93" s="317" t="s">
        <v>638</v>
      </c>
      <c r="E93" s="317" t="s">
        <v>28</v>
      </c>
      <c r="F93" s="312">
        <v>42808726</v>
      </c>
      <c r="G93" s="312">
        <v>42808726</v>
      </c>
      <c r="H93" s="123" t="str">
        <f t="shared" si="1"/>
        <v>01048020060000120</v>
      </c>
    </row>
    <row r="94" spans="1:8" ht="25.5">
      <c r="A94" s="316" t="s">
        <v>953</v>
      </c>
      <c r="B94" s="317" t="s">
        <v>5</v>
      </c>
      <c r="C94" s="317" t="s">
        <v>333</v>
      </c>
      <c r="D94" s="317" t="s">
        <v>638</v>
      </c>
      <c r="E94" s="317" t="s">
        <v>324</v>
      </c>
      <c r="F94" s="312">
        <v>32547101</v>
      </c>
      <c r="G94" s="312">
        <v>32547101</v>
      </c>
      <c r="H94" s="123" t="str">
        <f t="shared" si="1"/>
        <v>01048020060000121</v>
      </c>
    </row>
    <row r="95" spans="1:8" ht="51">
      <c r="A95" s="316" t="s">
        <v>325</v>
      </c>
      <c r="B95" s="317" t="s">
        <v>5</v>
      </c>
      <c r="C95" s="317" t="s">
        <v>333</v>
      </c>
      <c r="D95" s="317" t="s">
        <v>638</v>
      </c>
      <c r="E95" s="317" t="s">
        <v>326</v>
      </c>
      <c r="F95" s="312">
        <v>432400</v>
      </c>
      <c r="G95" s="312">
        <v>432400</v>
      </c>
      <c r="H95" s="123" t="str">
        <f t="shared" si="1"/>
        <v>01048020060000122</v>
      </c>
    </row>
    <row r="96" spans="1:8" ht="63.75">
      <c r="A96" s="316" t="s">
        <v>1054</v>
      </c>
      <c r="B96" s="317" t="s">
        <v>5</v>
      </c>
      <c r="C96" s="317" t="s">
        <v>333</v>
      </c>
      <c r="D96" s="317" t="s">
        <v>638</v>
      </c>
      <c r="E96" s="317" t="s">
        <v>1055</v>
      </c>
      <c r="F96" s="312">
        <v>9829225</v>
      </c>
      <c r="G96" s="312">
        <v>9829225</v>
      </c>
      <c r="H96" s="123" t="str">
        <f t="shared" si="1"/>
        <v>01048020060000129</v>
      </c>
    </row>
    <row r="97" spans="1:8" ht="38.25">
      <c r="A97" s="316" t="s">
        <v>1319</v>
      </c>
      <c r="B97" s="317" t="s">
        <v>5</v>
      </c>
      <c r="C97" s="317" t="s">
        <v>333</v>
      </c>
      <c r="D97" s="317" t="s">
        <v>638</v>
      </c>
      <c r="E97" s="317" t="s">
        <v>1320</v>
      </c>
      <c r="F97" s="312">
        <v>8311773.8600000003</v>
      </c>
      <c r="G97" s="312">
        <v>8879883.8599999994</v>
      </c>
      <c r="H97" s="123" t="str">
        <f t="shared" si="1"/>
        <v>01048020060000200</v>
      </c>
    </row>
    <row r="98" spans="1:8" ht="38.25">
      <c r="A98" s="316" t="s">
        <v>1196</v>
      </c>
      <c r="B98" s="317" t="s">
        <v>5</v>
      </c>
      <c r="C98" s="317" t="s">
        <v>333</v>
      </c>
      <c r="D98" s="317" t="s">
        <v>638</v>
      </c>
      <c r="E98" s="317" t="s">
        <v>1197</v>
      </c>
      <c r="F98" s="312">
        <v>8311773.8600000003</v>
      </c>
      <c r="G98" s="312">
        <v>8879883.8599999994</v>
      </c>
      <c r="H98" s="123" t="str">
        <f t="shared" si="1"/>
        <v>01048020060000240</v>
      </c>
    </row>
    <row r="99" spans="1:8">
      <c r="A99" s="316" t="s">
        <v>1223</v>
      </c>
      <c r="B99" s="317" t="s">
        <v>5</v>
      </c>
      <c r="C99" s="317" t="s">
        <v>333</v>
      </c>
      <c r="D99" s="317" t="s">
        <v>638</v>
      </c>
      <c r="E99" s="317" t="s">
        <v>329</v>
      </c>
      <c r="F99" s="312">
        <v>8311773.8600000003</v>
      </c>
      <c r="G99" s="312">
        <v>8879883.8599999994</v>
      </c>
      <c r="H99" s="123" t="str">
        <f t="shared" si="1"/>
        <v>01048020060000244</v>
      </c>
    </row>
    <row r="100" spans="1:8">
      <c r="A100" s="316" t="s">
        <v>1321</v>
      </c>
      <c r="B100" s="317" t="s">
        <v>5</v>
      </c>
      <c r="C100" s="317" t="s">
        <v>333</v>
      </c>
      <c r="D100" s="317" t="s">
        <v>638</v>
      </c>
      <c r="E100" s="317" t="s">
        <v>1322</v>
      </c>
      <c r="F100" s="312">
        <v>322812</v>
      </c>
      <c r="G100" s="312">
        <v>322812</v>
      </c>
      <c r="H100" s="123" t="str">
        <f t="shared" si="1"/>
        <v>01048020060000800</v>
      </c>
    </row>
    <row r="101" spans="1:8">
      <c r="A101" s="316" t="s">
        <v>1201</v>
      </c>
      <c r="B101" s="317" t="s">
        <v>5</v>
      </c>
      <c r="C101" s="317" t="s">
        <v>333</v>
      </c>
      <c r="D101" s="317" t="s">
        <v>638</v>
      </c>
      <c r="E101" s="317" t="s">
        <v>1202</v>
      </c>
      <c r="F101" s="312">
        <v>322812</v>
      </c>
      <c r="G101" s="312">
        <v>322812</v>
      </c>
      <c r="H101" s="123" t="str">
        <f t="shared" si="1"/>
        <v>01048020060000850</v>
      </c>
    </row>
    <row r="102" spans="1:8">
      <c r="A102" s="316" t="s">
        <v>1057</v>
      </c>
      <c r="B102" s="317" t="s">
        <v>5</v>
      </c>
      <c r="C102" s="317" t="s">
        <v>333</v>
      </c>
      <c r="D102" s="317" t="s">
        <v>638</v>
      </c>
      <c r="E102" s="317" t="s">
        <v>1058</v>
      </c>
      <c r="F102" s="312">
        <v>322812</v>
      </c>
      <c r="G102" s="312">
        <v>322812</v>
      </c>
      <c r="H102" s="123" t="str">
        <f t="shared" si="1"/>
        <v>01048020060000853</v>
      </c>
    </row>
    <row r="103" spans="1:8" ht="89.25">
      <c r="A103" s="316" t="s">
        <v>560</v>
      </c>
      <c r="B103" s="317" t="s">
        <v>5</v>
      </c>
      <c r="C103" s="317" t="s">
        <v>333</v>
      </c>
      <c r="D103" s="317" t="s">
        <v>648</v>
      </c>
      <c r="E103" s="317" t="s">
        <v>1173</v>
      </c>
      <c r="F103" s="312">
        <v>1371860</v>
      </c>
      <c r="G103" s="312">
        <v>1371860</v>
      </c>
      <c r="H103" s="123" t="str">
        <f t="shared" si="1"/>
        <v>01048020061000</v>
      </c>
    </row>
    <row r="104" spans="1:8" ht="76.5">
      <c r="A104" s="316" t="s">
        <v>1318</v>
      </c>
      <c r="B104" s="317" t="s">
        <v>5</v>
      </c>
      <c r="C104" s="317" t="s">
        <v>333</v>
      </c>
      <c r="D104" s="317" t="s">
        <v>648</v>
      </c>
      <c r="E104" s="317" t="s">
        <v>273</v>
      </c>
      <c r="F104" s="312">
        <v>1371860</v>
      </c>
      <c r="G104" s="312">
        <v>1371860</v>
      </c>
      <c r="H104" s="123" t="str">
        <f t="shared" si="1"/>
        <v>01048020061000100</v>
      </c>
    </row>
    <row r="105" spans="1:8" ht="38.25">
      <c r="A105" s="316" t="s">
        <v>1203</v>
      </c>
      <c r="B105" s="317" t="s">
        <v>5</v>
      </c>
      <c r="C105" s="317" t="s">
        <v>333</v>
      </c>
      <c r="D105" s="317" t="s">
        <v>648</v>
      </c>
      <c r="E105" s="317" t="s">
        <v>28</v>
      </c>
      <c r="F105" s="312">
        <v>1371860</v>
      </c>
      <c r="G105" s="312">
        <v>1371860</v>
      </c>
      <c r="H105" s="123" t="str">
        <f t="shared" si="1"/>
        <v>01048020061000120</v>
      </c>
    </row>
    <row r="106" spans="1:8" ht="25.5">
      <c r="A106" s="316" t="s">
        <v>953</v>
      </c>
      <c r="B106" s="317" t="s">
        <v>5</v>
      </c>
      <c r="C106" s="317" t="s">
        <v>333</v>
      </c>
      <c r="D106" s="317" t="s">
        <v>648</v>
      </c>
      <c r="E106" s="317" t="s">
        <v>324</v>
      </c>
      <c r="F106" s="312">
        <v>1053656</v>
      </c>
      <c r="G106" s="312">
        <v>1053656</v>
      </c>
      <c r="H106" s="123" t="str">
        <f t="shared" si="1"/>
        <v>01048020061000121</v>
      </c>
    </row>
    <row r="107" spans="1:8" ht="63.75">
      <c r="A107" s="316" t="s">
        <v>1054</v>
      </c>
      <c r="B107" s="317" t="s">
        <v>5</v>
      </c>
      <c r="C107" s="317" t="s">
        <v>333</v>
      </c>
      <c r="D107" s="317" t="s">
        <v>648</v>
      </c>
      <c r="E107" s="317" t="s">
        <v>1055</v>
      </c>
      <c r="F107" s="312">
        <v>318204</v>
      </c>
      <c r="G107" s="312">
        <v>318204</v>
      </c>
      <c r="H107" s="123" t="str">
        <f t="shared" si="1"/>
        <v>01048020061000129</v>
      </c>
    </row>
    <row r="108" spans="1:8" ht="76.5">
      <c r="A108" s="316" t="s">
        <v>558</v>
      </c>
      <c r="B108" s="317" t="s">
        <v>5</v>
      </c>
      <c r="C108" s="317" t="s">
        <v>333</v>
      </c>
      <c r="D108" s="317" t="s">
        <v>639</v>
      </c>
      <c r="E108" s="317" t="s">
        <v>1173</v>
      </c>
      <c r="F108" s="312">
        <v>332000</v>
      </c>
      <c r="G108" s="312">
        <v>332000</v>
      </c>
      <c r="H108" s="123" t="str">
        <f t="shared" si="1"/>
        <v>01048020067000</v>
      </c>
    </row>
    <row r="109" spans="1:8" ht="76.5">
      <c r="A109" s="316" t="s">
        <v>1318</v>
      </c>
      <c r="B109" s="317" t="s">
        <v>5</v>
      </c>
      <c r="C109" s="317" t="s">
        <v>333</v>
      </c>
      <c r="D109" s="317" t="s">
        <v>639</v>
      </c>
      <c r="E109" s="317" t="s">
        <v>273</v>
      </c>
      <c r="F109" s="312">
        <v>332000</v>
      </c>
      <c r="G109" s="312">
        <v>332000</v>
      </c>
      <c r="H109" s="123" t="str">
        <f t="shared" si="1"/>
        <v>01048020067000100</v>
      </c>
    </row>
    <row r="110" spans="1:8" ht="38.25">
      <c r="A110" s="316" t="s">
        <v>1203</v>
      </c>
      <c r="B110" s="317" t="s">
        <v>5</v>
      </c>
      <c r="C110" s="317" t="s">
        <v>333</v>
      </c>
      <c r="D110" s="317" t="s">
        <v>639</v>
      </c>
      <c r="E110" s="317" t="s">
        <v>28</v>
      </c>
      <c r="F110" s="312">
        <v>332000</v>
      </c>
      <c r="G110" s="312">
        <v>332000</v>
      </c>
      <c r="H110" s="123" t="str">
        <f t="shared" si="1"/>
        <v>01048020067000120</v>
      </c>
    </row>
    <row r="111" spans="1:8" ht="51">
      <c r="A111" s="316" t="s">
        <v>325</v>
      </c>
      <c r="B111" s="317" t="s">
        <v>5</v>
      </c>
      <c r="C111" s="317" t="s">
        <v>333</v>
      </c>
      <c r="D111" s="317" t="s">
        <v>639</v>
      </c>
      <c r="E111" s="317" t="s">
        <v>326</v>
      </c>
      <c r="F111" s="312">
        <v>332000</v>
      </c>
      <c r="G111" s="312">
        <v>332000</v>
      </c>
      <c r="H111" s="123" t="str">
        <f t="shared" si="1"/>
        <v>01048020067000122</v>
      </c>
    </row>
    <row r="112" spans="1:8" ht="76.5">
      <c r="A112" s="316" t="s">
        <v>561</v>
      </c>
      <c r="B112" s="317" t="s">
        <v>5</v>
      </c>
      <c r="C112" s="317" t="s">
        <v>333</v>
      </c>
      <c r="D112" s="317" t="s">
        <v>649</v>
      </c>
      <c r="E112" s="317" t="s">
        <v>1173</v>
      </c>
      <c r="F112" s="312">
        <v>8288772</v>
      </c>
      <c r="G112" s="312">
        <v>8288772</v>
      </c>
      <c r="H112" s="123" t="str">
        <f t="shared" si="1"/>
        <v>0104802006Б000</v>
      </c>
    </row>
    <row r="113" spans="1:8" ht="76.5">
      <c r="A113" s="316" t="s">
        <v>1318</v>
      </c>
      <c r="B113" s="317" t="s">
        <v>5</v>
      </c>
      <c r="C113" s="317" t="s">
        <v>333</v>
      </c>
      <c r="D113" s="317" t="s">
        <v>649</v>
      </c>
      <c r="E113" s="317" t="s">
        <v>273</v>
      </c>
      <c r="F113" s="312">
        <v>8288772</v>
      </c>
      <c r="G113" s="312">
        <v>8288772</v>
      </c>
      <c r="H113" s="123" t="str">
        <f t="shared" si="1"/>
        <v>0104802006Б000100</v>
      </c>
    </row>
    <row r="114" spans="1:8" ht="38.25">
      <c r="A114" s="316" t="s">
        <v>1203</v>
      </c>
      <c r="B114" s="317" t="s">
        <v>5</v>
      </c>
      <c r="C114" s="317" t="s">
        <v>333</v>
      </c>
      <c r="D114" s="317" t="s">
        <v>649</v>
      </c>
      <c r="E114" s="317" t="s">
        <v>28</v>
      </c>
      <c r="F114" s="312">
        <v>8288772</v>
      </c>
      <c r="G114" s="312">
        <v>8288772</v>
      </c>
      <c r="H114" s="123" t="str">
        <f t="shared" si="1"/>
        <v>0104802006Б000120</v>
      </c>
    </row>
    <row r="115" spans="1:8" ht="25.5">
      <c r="A115" s="316" t="s">
        <v>953</v>
      </c>
      <c r="B115" s="317" t="s">
        <v>5</v>
      </c>
      <c r="C115" s="317" t="s">
        <v>333</v>
      </c>
      <c r="D115" s="317" t="s">
        <v>649</v>
      </c>
      <c r="E115" s="317" t="s">
        <v>324</v>
      </c>
      <c r="F115" s="312">
        <v>6366185</v>
      </c>
      <c r="G115" s="312">
        <v>6366185</v>
      </c>
      <c r="H115" s="123" t="str">
        <f t="shared" si="1"/>
        <v>0104802006Б000121</v>
      </c>
    </row>
    <row r="116" spans="1:8" ht="63.75">
      <c r="A116" s="316" t="s">
        <v>1054</v>
      </c>
      <c r="B116" s="317" t="s">
        <v>5</v>
      </c>
      <c r="C116" s="317" t="s">
        <v>333</v>
      </c>
      <c r="D116" s="317" t="s">
        <v>649</v>
      </c>
      <c r="E116" s="317" t="s">
        <v>1055</v>
      </c>
      <c r="F116" s="312">
        <v>1922587</v>
      </c>
      <c r="G116" s="312">
        <v>1922587</v>
      </c>
      <c r="H116" s="123" t="str">
        <f t="shared" si="1"/>
        <v>0104802006Б000129</v>
      </c>
    </row>
    <row r="117" spans="1:8" ht="51">
      <c r="A117" s="316" t="s">
        <v>954</v>
      </c>
      <c r="B117" s="317" t="s">
        <v>5</v>
      </c>
      <c r="C117" s="317" t="s">
        <v>333</v>
      </c>
      <c r="D117" s="317" t="s">
        <v>955</v>
      </c>
      <c r="E117" s="317" t="s">
        <v>1173</v>
      </c>
      <c r="F117" s="312">
        <v>4330205</v>
      </c>
      <c r="G117" s="312">
        <v>4330205</v>
      </c>
      <c r="H117" s="123" t="str">
        <f t="shared" si="1"/>
        <v>0104802006Г000</v>
      </c>
    </row>
    <row r="118" spans="1:8" ht="38.25">
      <c r="A118" s="316" t="s">
        <v>1319</v>
      </c>
      <c r="B118" s="317" t="s">
        <v>5</v>
      </c>
      <c r="C118" s="317" t="s">
        <v>333</v>
      </c>
      <c r="D118" s="317" t="s">
        <v>955</v>
      </c>
      <c r="E118" s="317" t="s">
        <v>1320</v>
      </c>
      <c r="F118" s="312">
        <v>4330205</v>
      </c>
      <c r="G118" s="312">
        <v>4330205</v>
      </c>
      <c r="H118" s="123" t="str">
        <f t="shared" si="1"/>
        <v>0104802006Г000200</v>
      </c>
    </row>
    <row r="119" spans="1:8" ht="38.25">
      <c r="A119" s="316" t="s">
        <v>1196</v>
      </c>
      <c r="B119" s="317" t="s">
        <v>5</v>
      </c>
      <c r="C119" s="317" t="s">
        <v>333</v>
      </c>
      <c r="D119" s="317" t="s">
        <v>955</v>
      </c>
      <c r="E119" s="317" t="s">
        <v>1197</v>
      </c>
      <c r="F119" s="312">
        <v>4330205</v>
      </c>
      <c r="G119" s="312">
        <v>4330205</v>
      </c>
      <c r="H119" s="123" t="str">
        <f t="shared" si="1"/>
        <v>0104802006Г000240</v>
      </c>
    </row>
    <row r="120" spans="1:8">
      <c r="A120" s="316" t="s">
        <v>1223</v>
      </c>
      <c r="B120" s="317" t="s">
        <v>5</v>
      </c>
      <c r="C120" s="317" t="s">
        <v>333</v>
      </c>
      <c r="D120" s="317" t="s">
        <v>955</v>
      </c>
      <c r="E120" s="317" t="s">
        <v>329</v>
      </c>
      <c r="F120" s="312">
        <v>154460</v>
      </c>
      <c r="G120" s="312">
        <v>154460</v>
      </c>
      <c r="H120" s="123" t="str">
        <f t="shared" si="1"/>
        <v>0104802006Г000244</v>
      </c>
    </row>
    <row r="121" spans="1:8">
      <c r="A121" s="316" t="s">
        <v>1699</v>
      </c>
      <c r="B121" s="317" t="s">
        <v>5</v>
      </c>
      <c r="C121" s="317" t="s">
        <v>333</v>
      </c>
      <c r="D121" s="317" t="s">
        <v>955</v>
      </c>
      <c r="E121" s="317" t="s">
        <v>1700</v>
      </c>
      <c r="F121" s="312">
        <v>4175745</v>
      </c>
      <c r="G121" s="312">
        <v>4175745</v>
      </c>
      <c r="H121" s="123" t="str">
        <f t="shared" si="1"/>
        <v>0104802006Г000247</v>
      </c>
    </row>
    <row r="122" spans="1:8" ht="63.75">
      <c r="A122" s="316" t="s">
        <v>1509</v>
      </c>
      <c r="B122" s="317" t="s">
        <v>5</v>
      </c>
      <c r="C122" s="317" t="s">
        <v>333</v>
      </c>
      <c r="D122" s="317" t="s">
        <v>1510</v>
      </c>
      <c r="E122" s="317" t="s">
        <v>1173</v>
      </c>
      <c r="F122" s="312">
        <v>265731</v>
      </c>
      <c r="G122" s="312">
        <v>265731</v>
      </c>
      <c r="H122" s="123" t="str">
        <f t="shared" si="1"/>
        <v>0104802006М000</v>
      </c>
    </row>
    <row r="123" spans="1:8" ht="38.25">
      <c r="A123" s="316" t="s">
        <v>1319</v>
      </c>
      <c r="B123" s="317" t="s">
        <v>5</v>
      </c>
      <c r="C123" s="317" t="s">
        <v>333</v>
      </c>
      <c r="D123" s="317" t="s">
        <v>1510</v>
      </c>
      <c r="E123" s="317" t="s">
        <v>1320</v>
      </c>
      <c r="F123" s="312">
        <v>265731</v>
      </c>
      <c r="G123" s="312">
        <v>265731</v>
      </c>
      <c r="H123" s="123" t="str">
        <f t="shared" si="1"/>
        <v>0104802006М000200</v>
      </c>
    </row>
    <row r="124" spans="1:8" ht="38.25">
      <c r="A124" s="316" t="s">
        <v>1196</v>
      </c>
      <c r="B124" s="317" t="s">
        <v>5</v>
      </c>
      <c r="C124" s="317" t="s">
        <v>333</v>
      </c>
      <c r="D124" s="317" t="s">
        <v>1510</v>
      </c>
      <c r="E124" s="317" t="s">
        <v>1197</v>
      </c>
      <c r="F124" s="312">
        <v>265731</v>
      </c>
      <c r="G124" s="312">
        <v>265731</v>
      </c>
      <c r="H124" s="123" t="str">
        <f t="shared" si="1"/>
        <v>0104802006М000240</v>
      </c>
    </row>
    <row r="125" spans="1:8">
      <c r="A125" s="316" t="s">
        <v>1223</v>
      </c>
      <c r="B125" s="317" t="s">
        <v>5</v>
      </c>
      <c r="C125" s="317" t="s">
        <v>333</v>
      </c>
      <c r="D125" s="317" t="s">
        <v>1510</v>
      </c>
      <c r="E125" s="317" t="s">
        <v>329</v>
      </c>
      <c r="F125" s="312">
        <v>265731</v>
      </c>
      <c r="G125" s="312">
        <v>265731</v>
      </c>
      <c r="H125" s="123" t="str">
        <f t="shared" si="1"/>
        <v>0104802006М000244</v>
      </c>
    </row>
    <row r="126" spans="1:8" ht="38.25">
      <c r="A126" s="316" t="s">
        <v>1073</v>
      </c>
      <c r="B126" s="317" t="s">
        <v>5</v>
      </c>
      <c r="C126" s="317" t="s">
        <v>333</v>
      </c>
      <c r="D126" s="317" t="s">
        <v>1074</v>
      </c>
      <c r="E126" s="317" t="s">
        <v>1173</v>
      </c>
      <c r="F126" s="312">
        <v>1029064</v>
      </c>
      <c r="G126" s="312">
        <v>1029064</v>
      </c>
      <c r="H126" s="123" t="str">
        <f t="shared" si="1"/>
        <v>0104802006Э000</v>
      </c>
    </row>
    <row r="127" spans="1:8" ht="38.25">
      <c r="A127" s="316" t="s">
        <v>1319</v>
      </c>
      <c r="B127" s="317" t="s">
        <v>5</v>
      </c>
      <c r="C127" s="317" t="s">
        <v>333</v>
      </c>
      <c r="D127" s="317" t="s">
        <v>1074</v>
      </c>
      <c r="E127" s="317" t="s">
        <v>1320</v>
      </c>
      <c r="F127" s="312">
        <v>1029064</v>
      </c>
      <c r="G127" s="312">
        <v>1029064</v>
      </c>
      <c r="H127" s="123" t="str">
        <f t="shared" si="1"/>
        <v>0104802006Э000200</v>
      </c>
    </row>
    <row r="128" spans="1:8" ht="38.25">
      <c r="A128" s="316" t="s">
        <v>1196</v>
      </c>
      <c r="B128" s="317" t="s">
        <v>5</v>
      </c>
      <c r="C128" s="317" t="s">
        <v>333</v>
      </c>
      <c r="D128" s="317" t="s">
        <v>1074</v>
      </c>
      <c r="E128" s="317" t="s">
        <v>1197</v>
      </c>
      <c r="F128" s="312">
        <v>1029064</v>
      </c>
      <c r="G128" s="312">
        <v>1029064</v>
      </c>
      <c r="H128" s="123" t="str">
        <f t="shared" si="1"/>
        <v>0104802006Э000240</v>
      </c>
    </row>
    <row r="129" spans="1:8">
      <c r="A129" s="316" t="s">
        <v>1699</v>
      </c>
      <c r="B129" s="317" t="s">
        <v>5</v>
      </c>
      <c r="C129" s="317" t="s">
        <v>333</v>
      </c>
      <c r="D129" s="317" t="s">
        <v>1074</v>
      </c>
      <c r="E129" s="317" t="s">
        <v>1700</v>
      </c>
      <c r="F129" s="312">
        <v>1029064</v>
      </c>
      <c r="G129" s="312">
        <v>1029064</v>
      </c>
      <c r="H129" s="123" t="str">
        <f t="shared" si="1"/>
        <v>0104802006Э000247</v>
      </c>
    </row>
    <row r="130" spans="1:8" ht="102">
      <c r="A130" s="316" t="s">
        <v>335</v>
      </c>
      <c r="B130" s="317" t="s">
        <v>5</v>
      </c>
      <c r="C130" s="317" t="s">
        <v>333</v>
      </c>
      <c r="D130" s="317" t="s">
        <v>646</v>
      </c>
      <c r="E130" s="317" t="s">
        <v>1173</v>
      </c>
      <c r="F130" s="312">
        <v>828000</v>
      </c>
      <c r="G130" s="312">
        <v>828000</v>
      </c>
      <c r="H130" s="123" t="str">
        <f t="shared" si="1"/>
        <v>01048020074670</v>
      </c>
    </row>
    <row r="131" spans="1:8" ht="76.5">
      <c r="A131" s="316" t="s">
        <v>1318</v>
      </c>
      <c r="B131" s="317" t="s">
        <v>5</v>
      </c>
      <c r="C131" s="317" t="s">
        <v>333</v>
      </c>
      <c r="D131" s="317" t="s">
        <v>646</v>
      </c>
      <c r="E131" s="317" t="s">
        <v>273</v>
      </c>
      <c r="F131" s="312">
        <v>796200</v>
      </c>
      <c r="G131" s="312">
        <v>796200</v>
      </c>
      <c r="H131" s="123" t="str">
        <f t="shared" si="1"/>
        <v>01048020074670100</v>
      </c>
    </row>
    <row r="132" spans="1:8" ht="38.25">
      <c r="A132" s="316" t="s">
        <v>1203</v>
      </c>
      <c r="B132" s="317" t="s">
        <v>5</v>
      </c>
      <c r="C132" s="317" t="s">
        <v>333</v>
      </c>
      <c r="D132" s="317" t="s">
        <v>646</v>
      </c>
      <c r="E132" s="317" t="s">
        <v>28</v>
      </c>
      <c r="F132" s="312">
        <v>796200</v>
      </c>
      <c r="G132" s="312">
        <v>796200</v>
      </c>
      <c r="H132" s="123" t="str">
        <f t="shared" ref="H132:H191" si="2">CONCATENATE(C132,,D132,E132)</f>
        <v>01048020074670120</v>
      </c>
    </row>
    <row r="133" spans="1:8" ht="25.5">
      <c r="A133" s="316" t="s">
        <v>953</v>
      </c>
      <c r="B133" s="317" t="s">
        <v>5</v>
      </c>
      <c r="C133" s="317" t="s">
        <v>333</v>
      </c>
      <c r="D133" s="317" t="s">
        <v>646</v>
      </c>
      <c r="E133" s="317" t="s">
        <v>324</v>
      </c>
      <c r="F133" s="312">
        <v>596787</v>
      </c>
      <c r="G133" s="312">
        <v>596787</v>
      </c>
      <c r="H133" s="123" t="str">
        <f t="shared" si="2"/>
        <v>01048020074670121</v>
      </c>
    </row>
    <row r="134" spans="1:8" ht="51">
      <c r="A134" s="316" t="s">
        <v>325</v>
      </c>
      <c r="B134" s="317" t="s">
        <v>5</v>
      </c>
      <c r="C134" s="317" t="s">
        <v>333</v>
      </c>
      <c r="D134" s="317" t="s">
        <v>646</v>
      </c>
      <c r="E134" s="317" t="s">
        <v>326</v>
      </c>
      <c r="F134" s="312">
        <v>19200</v>
      </c>
      <c r="G134" s="312">
        <v>19200</v>
      </c>
      <c r="H134" s="123" t="str">
        <f t="shared" si="2"/>
        <v>01048020074670122</v>
      </c>
    </row>
    <row r="135" spans="1:8" ht="63.75">
      <c r="A135" s="316" t="s">
        <v>1054</v>
      </c>
      <c r="B135" s="317" t="s">
        <v>5</v>
      </c>
      <c r="C135" s="317" t="s">
        <v>333</v>
      </c>
      <c r="D135" s="317" t="s">
        <v>646</v>
      </c>
      <c r="E135" s="317" t="s">
        <v>1055</v>
      </c>
      <c r="F135" s="312">
        <v>180213</v>
      </c>
      <c r="G135" s="312">
        <v>180213</v>
      </c>
      <c r="H135" s="123" t="str">
        <f t="shared" si="2"/>
        <v>01048020074670129</v>
      </c>
    </row>
    <row r="136" spans="1:8" ht="38.25">
      <c r="A136" s="316" t="s">
        <v>1319</v>
      </c>
      <c r="B136" s="317" t="s">
        <v>5</v>
      </c>
      <c r="C136" s="317" t="s">
        <v>333</v>
      </c>
      <c r="D136" s="317" t="s">
        <v>646</v>
      </c>
      <c r="E136" s="317" t="s">
        <v>1320</v>
      </c>
      <c r="F136" s="312">
        <v>31800</v>
      </c>
      <c r="G136" s="312">
        <v>31800</v>
      </c>
      <c r="H136" s="123" t="str">
        <f t="shared" si="2"/>
        <v>01048020074670200</v>
      </c>
    </row>
    <row r="137" spans="1:8" ht="38.25">
      <c r="A137" s="316" t="s">
        <v>1196</v>
      </c>
      <c r="B137" s="317" t="s">
        <v>5</v>
      </c>
      <c r="C137" s="317" t="s">
        <v>333</v>
      </c>
      <c r="D137" s="317" t="s">
        <v>646</v>
      </c>
      <c r="E137" s="317" t="s">
        <v>1197</v>
      </c>
      <c r="F137" s="312">
        <v>31800</v>
      </c>
      <c r="G137" s="312">
        <v>31800</v>
      </c>
      <c r="H137" s="123" t="str">
        <f t="shared" si="2"/>
        <v>01048020074670240</v>
      </c>
    </row>
    <row r="138" spans="1:8">
      <c r="A138" s="316" t="s">
        <v>1223</v>
      </c>
      <c r="B138" s="317" t="s">
        <v>5</v>
      </c>
      <c r="C138" s="317" t="s">
        <v>333</v>
      </c>
      <c r="D138" s="317" t="s">
        <v>646</v>
      </c>
      <c r="E138" s="317" t="s">
        <v>329</v>
      </c>
      <c r="F138" s="312">
        <v>31800</v>
      </c>
      <c r="G138" s="312">
        <v>31800</v>
      </c>
      <c r="H138" s="123" t="str">
        <f t="shared" si="2"/>
        <v>01048020074670244</v>
      </c>
    </row>
    <row r="139" spans="1:8" ht="76.5">
      <c r="A139" s="316" t="s">
        <v>336</v>
      </c>
      <c r="B139" s="317" t="s">
        <v>5</v>
      </c>
      <c r="C139" s="317" t="s">
        <v>333</v>
      </c>
      <c r="D139" s="317" t="s">
        <v>647</v>
      </c>
      <c r="E139" s="317" t="s">
        <v>1173</v>
      </c>
      <c r="F139" s="312">
        <v>1624300</v>
      </c>
      <c r="G139" s="312">
        <v>1624300</v>
      </c>
      <c r="H139" s="123" t="str">
        <f t="shared" si="2"/>
        <v>01048020076040</v>
      </c>
    </row>
    <row r="140" spans="1:8" ht="76.5">
      <c r="A140" s="316" t="s">
        <v>1318</v>
      </c>
      <c r="B140" s="317" t="s">
        <v>5</v>
      </c>
      <c r="C140" s="317" t="s">
        <v>333</v>
      </c>
      <c r="D140" s="317" t="s">
        <v>647</v>
      </c>
      <c r="E140" s="317" t="s">
        <v>273</v>
      </c>
      <c r="F140" s="312">
        <v>1579300</v>
      </c>
      <c r="G140" s="312">
        <v>1579300</v>
      </c>
      <c r="H140" s="123" t="str">
        <f t="shared" si="2"/>
        <v>01048020076040100</v>
      </c>
    </row>
    <row r="141" spans="1:8" ht="38.25">
      <c r="A141" s="316" t="s">
        <v>1203</v>
      </c>
      <c r="B141" s="317" t="s">
        <v>5</v>
      </c>
      <c r="C141" s="317" t="s">
        <v>333</v>
      </c>
      <c r="D141" s="317" t="s">
        <v>647</v>
      </c>
      <c r="E141" s="317" t="s">
        <v>28</v>
      </c>
      <c r="F141" s="312">
        <v>1579300</v>
      </c>
      <c r="G141" s="312">
        <v>1579300</v>
      </c>
      <c r="H141" s="123" t="str">
        <f t="shared" si="2"/>
        <v>01048020076040120</v>
      </c>
    </row>
    <row r="142" spans="1:8" ht="25.5">
      <c r="A142" s="316" t="s">
        <v>953</v>
      </c>
      <c r="B142" s="317" t="s">
        <v>5</v>
      </c>
      <c r="C142" s="317" t="s">
        <v>333</v>
      </c>
      <c r="D142" s="317" t="s">
        <v>647</v>
      </c>
      <c r="E142" s="317" t="s">
        <v>324</v>
      </c>
      <c r="F142" s="312">
        <v>1193780</v>
      </c>
      <c r="G142" s="312">
        <v>1193780</v>
      </c>
      <c r="H142" s="123" t="str">
        <f t="shared" si="2"/>
        <v>01048020076040121</v>
      </c>
    </row>
    <row r="143" spans="1:8" ht="51">
      <c r="A143" s="316" t="s">
        <v>325</v>
      </c>
      <c r="B143" s="317" t="s">
        <v>5</v>
      </c>
      <c r="C143" s="317" t="s">
        <v>333</v>
      </c>
      <c r="D143" s="317" t="s">
        <v>647</v>
      </c>
      <c r="E143" s="317" t="s">
        <v>326</v>
      </c>
      <c r="F143" s="312">
        <v>25000</v>
      </c>
      <c r="G143" s="312">
        <v>25000</v>
      </c>
      <c r="H143" s="123" t="str">
        <f t="shared" si="2"/>
        <v>01048020076040122</v>
      </c>
    </row>
    <row r="144" spans="1:8" ht="63.75">
      <c r="A144" s="316" t="s">
        <v>1054</v>
      </c>
      <c r="B144" s="317" t="s">
        <v>5</v>
      </c>
      <c r="C144" s="317" t="s">
        <v>333</v>
      </c>
      <c r="D144" s="317" t="s">
        <v>647</v>
      </c>
      <c r="E144" s="317" t="s">
        <v>1055</v>
      </c>
      <c r="F144" s="312">
        <v>360520</v>
      </c>
      <c r="G144" s="312">
        <v>360520</v>
      </c>
      <c r="H144" s="123" t="str">
        <f t="shared" si="2"/>
        <v>01048020076040129</v>
      </c>
    </row>
    <row r="145" spans="1:8" ht="38.25">
      <c r="A145" s="316" t="s">
        <v>1319</v>
      </c>
      <c r="B145" s="317" t="s">
        <v>5</v>
      </c>
      <c r="C145" s="317" t="s">
        <v>333</v>
      </c>
      <c r="D145" s="317" t="s">
        <v>647</v>
      </c>
      <c r="E145" s="317" t="s">
        <v>1320</v>
      </c>
      <c r="F145" s="312">
        <v>45000</v>
      </c>
      <c r="G145" s="312">
        <v>45000</v>
      </c>
      <c r="H145" s="123" t="str">
        <f t="shared" si="2"/>
        <v>01048020076040200</v>
      </c>
    </row>
    <row r="146" spans="1:8" ht="38.25">
      <c r="A146" s="316" t="s">
        <v>1196</v>
      </c>
      <c r="B146" s="317" t="s">
        <v>5</v>
      </c>
      <c r="C146" s="317" t="s">
        <v>333</v>
      </c>
      <c r="D146" s="317" t="s">
        <v>647</v>
      </c>
      <c r="E146" s="317" t="s">
        <v>1197</v>
      </c>
      <c r="F146" s="312">
        <v>45000</v>
      </c>
      <c r="G146" s="312">
        <v>45000</v>
      </c>
      <c r="H146" s="123" t="str">
        <f t="shared" si="2"/>
        <v>01048020076040240</v>
      </c>
    </row>
    <row r="147" spans="1:8">
      <c r="A147" s="316" t="s">
        <v>1223</v>
      </c>
      <c r="B147" s="317" t="s">
        <v>5</v>
      </c>
      <c r="C147" s="317" t="s">
        <v>333</v>
      </c>
      <c r="D147" s="317" t="s">
        <v>647</v>
      </c>
      <c r="E147" s="317" t="s">
        <v>329</v>
      </c>
      <c r="F147" s="312">
        <v>45000</v>
      </c>
      <c r="G147" s="312">
        <v>45000</v>
      </c>
      <c r="H147" s="123" t="str">
        <f t="shared" si="2"/>
        <v>01048020076040244</v>
      </c>
    </row>
    <row r="148" spans="1:8" ht="267.75">
      <c r="A148" s="316" t="s">
        <v>498</v>
      </c>
      <c r="B148" s="317" t="s">
        <v>5</v>
      </c>
      <c r="C148" s="317" t="s">
        <v>333</v>
      </c>
      <c r="D148" s="317" t="s">
        <v>650</v>
      </c>
      <c r="E148" s="317" t="s">
        <v>1173</v>
      </c>
      <c r="F148" s="312">
        <v>854870</v>
      </c>
      <c r="G148" s="312">
        <v>854870</v>
      </c>
      <c r="H148" s="123" t="str">
        <f t="shared" si="2"/>
        <v>010480200Ч0010</v>
      </c>
    </row>
    <row r="149" spans="1:8" ht="76.5">
      <c r="A149" s="316" t="s">
        <v>1318</v>
      </c>
      <c r="B149" s="317" t="s">
        <v>5</v>
      </c>
      <c r="C149" s="317" t="s">
        <v>333</v>
      </c>
      <c r="D149" s="317" t="s">
        <v>650</v>
      </c>
      <c r="E149" s="317" t="s">
        <v>273</v>
      </c>
      <c r="F149" s="312">
        <v>854870</v>
      </c>
      <c r="G149" s="312">
        <v>854870</v>
      </c>
      <c r="H149" s="123" t="str">
        <f t="shared" si="2"/>
        <v>010480200Ч0010100</v>
      </c>
    </row>
    <row r="150" spans="1:8" ht="38.25">
      <c r="A150" s="316" t="s">
        <v>1203</v>
      </c>
      <c r="B150" s="317" t="s">
        <v>5</v>
      </c>
      <c r="C150" s="317" t="s">
        <v>333</v>
      </c>
      <c r="D150" s="317" t="s">
        <v>650</v>
      </c>
      <c r="E150" s="317" t="s">
        <v>28</v>
      </c>
      <c r="F150" s="312">
        <v>854870</v>
      </c>
      <c r="G150" s="312">
        <v>854870</v>
      </c>
      <c r="H150" s="123" t="str">
        <f t="shared" si="2"/>
        <v>010480200Ч0010120</v>
      </c>
    </row>
    <row r="151" spans="1:8" ht="25.5">
      <c r="A151" s="316" t="s">
        <v>953</v>
      </c>
      <c r="B151" s="317" t="s">
        <v>5</v>
      </c>
      <c r="C151" s="317" t="s">
        <v>333</v>
      </c>
      <c r="D151" s="317" t="s">
        <v>650</v>
      </c>
      <c r="E151" s="317" t="s">
        <v>324</v>
      </c>
      <c r="F151" s="312">
        <v>656582</v>
      </c>
      <c r="G151" s="312">
        <v>656582</v>
      </c>
      <c r="H151" s="123" t="str">
        <f t="shared" si="2"/>
        <v>010480200Ч0010121</v>
      </c>
    </row>
    <row r="152" spans="1:8" ht="63.75">
      <c r="A152" s="316" t="s">
        <v>1054</v>
      </c>
      <c r="B152" s="317" t="s">
        <v>5</v>
      </c>
      <c r="C152" s="317" t="s">
        <v>333</v>
      </c>
      <c r="D152" s="317" t="s">
        <v>650</v>
      </c>
      <c r="E152" s="317" t="s">
        <v>1055</v>
      </c>
      <c r="F152" s="312">
        <v>198288</v>
      </c>
      <c r="G152" s="312">
        <v>198288</v>
      </c>
      <c r="H152" s="123" t="str">
        <f t="shared" si="2"/>
        <v>010480200Ч0010129</v>
      </c>
    </row>
    <row r="153" spans="1:8">
      <c r="A153" s="316" t="s">
        <v>1191</v>
      </c>
      <c r="B153" s="317" t="s">
        <v>5</v>
      </c>
      <c r="C153" s="317" t="s">
        <v>1192</v>
      </c>
      <c r="D153" s="317" t="s">
        <v>1173</v>
      </c>
      <c r="E153" s="317" t="s">
        <v>1173</v>
      </c>
      <c r="F153" s="312">
        <v>6500</v>
      </c>
      <c r="G153" s="312">
        <v>5800</v>
      </c>
      <c r="H153" s="123" t="str">
        <f t="shared" si="2"/>
        <v>0105</v>
      </c>
    </row>
    <row r="154" spans="1:8" ht="25.5">
      <c r="A154" s="316" t="s">
        <v>601</v>
      </c>
      <c r="B154" s="317" t="s">
        <v>5</v>
      </c>
      <c r="C154" s="317" t="s">
        <v>1192</v>
      </c>
      <c r="D154" s="317" t="s">
        <v>1011</v>
      </c>
      <c r="E154" s="317" t="s">
        <v>1173</v>
      </c>
      <c r="F154" s="312">
        <v>6500</v>
      </c>
      <c r="G154" s="312">
        <v>5800</v>
      </c>
      <c r="H154" s="123" t="str">
        <f t="shared" si="2"/>
        <v>01059000000000</v>
      </c>
    </row>
    <row r="155" spans="1:8" ht="89.25">
      <c r="A155" s="316" t="s">
        <v>2039</v>
      </c>
      <c r="B155" s="317" t="s">
        <v>5</v>
      </c>
      <c r="C155" s="317" t="s">
        <v>1192</v>
      </c>
      <c r="D155" s="317" t="s">
        <v>1193</v>
      </c>
      <c r="E155" s="317" t="s">
        <v>1173</v>
      </c>
      <c r="F155" s="312">
        <v>6500</v>
      </c>
      <c r="G155" s="312">
        <v>5800</v>
      </c>
      <c r="H155" s="123" t="str">
        <f t="shared" si="2"/>
        <v>01059040000000</v>
      </c>
    </row>
    <row r="156" spans="1:8" ht="89.25">
      <c r="A156" s="316" t="s">
        <v>2039</v>
      </c>
      <c r="B156" s="317" t="s">
        <v>5</v>
      </c>
      <c r="C156" s="317" t="s">
        <v>1192</v>
      </c>
      <c r="D156" s="317" t="s">
        <v>651</v>
      </c>
      <c r="E156" s="317" t="s">
        <v>1173</v>
      </c>
      <c r="F156" s="312">
        <v>6500</v>
      </c>
      <c r="G156" s="312">
        <v>5800</v>
      </c>
      <c r="H156" s="123" t="str">
        <f t="shared" si="2"/>
        <v>01059040051200</v>
      </c>
    </row>
    <row r="157" spans="1:8" ht="38.25">
      <c r="A157" s="316" t="s">
        <v>1319</v>
      </c>
      <c r="B157" s="317" t="s">
        <v>5</v>
      </c>
      <c r="C157" s="317" t="s">
        <v>1192</v>
      </c>
      <c r="D157" s="317" t="s">
        <v>651</v>
      </c>
      <c r="E157" s="317" t="s">
        <v>1320</v>
      </c>
      <c r="F157" s="312">
        <v>6500</v>
      </c>
      <c r="G157" s="312">
        <v>5800</v>
      </c>
      <c r="H157" s="123" t="str">
        <f t="shared" si="2"/>
        <v>01059040051200200</v>
      </c>
    </row>
    <row r="158" spans="1:8" ht="38.25">
      <c r="A158" s="316" t="s">
        <v>1196</v>
      </c>
      <c r="B158" s="317" t="s">
        <v>5</v>
      </c>
      <c r="C158" s="317" t="s">
        <v>1192</v>
      </c>
      <c r="D158" s="317" t="s">
        <v>651</v>
      </c>
      <c r="E158" s="317" t="s">
        <v>1197</v>
      </c>
      <c r="F158" s="312">
        <v>6500</v>
      </c>
      <c r="G158" s="312">
        <v>5800</v>
      </c>
      <c r="H158" s="123" t="str">
        <f t="shared" si="2"/>
        <v>01059040051200240</v>
      </c>
    </row>
    <row r="159" spans="1:8">
      <c r="A159" s="316" t="s">
        <v>1223</v>
      </c>
      <c r="B159" s="317" t="s">
        <v>5</v>
      </c>
      <c r="C159" s="317" t="s">
        <v>1192</v>
      </c>
      <c r="D159" s="317" t="s">
        <v>651</v>
      </c>
      <c r="E159" s="317" t="s">
        <v>329</v>
      </c>
      <c r="F159" s="312">
        <v>6500</v>
      </c>
      <c r="G159" s="312">
        <v>5800</v>
      </c>
      <c r="H159" s="123" t="str">
        <f t="shared" si="2"/>
        <v>01059040051200244</v>
      </c>
    </row>
    <row r="160" spans="1:8">
      <c r="A160" s="316" t="s">
        <v>217</v>
      </c>
      <c r="B160" s="317" t="s">
        <v>5</v>
      </c>
      <c r="C160" s="317" t="s">
        <v>337</v>
      </c>
      <c r="D160" s="317" t="s">
        <v>1173</v>
      </c>
      <c r="E160" s="317" t="s">
        <v>1173</v>
      </c>
      <c r="F160" s="312">
        <v>593400</v>
      </c>
      <c r="G160" s="312">
        <v>593400</v>
      </c>
      <c r="H160" s="123" t="str">
        <f t="shared" si="2"/>
        <v>0113</v>
      </c>
    </row>
    <row r="161" spans="1:8" ht="63.75">
      <c r="A161" s="316" t="s">
        <v>1751</v>
      </c>
      <c r="B161" s="317" t="s">
        <v>5</v>
      </c>
      <c r="C161" s="317" t="s">
        <v>337</v>
      </c>
      <c r="D161" s="317" t="s">
        <v>978</v>
      </c>
      <c r="E161" s="317" t="s">
        <v>1173</v>
      </c>
      <c r="F161" s="312">
        <v>215000</v>
      </c>
      <c r="G161" s="312">
        <v>215000</v>
      </c>
      <c r="H161" s="123" t="str">
        <f t="shared" si="2"/>
        <v>01130400000000</v>
      </c>
    </row>
    <row r="162" spans="1:8" ht="38.25">
      <c r="A162" s="316" t="s">
        <v>1752</v>
      </c>
      <c r="B162" s="317" t="s">
        <v>5</v>
      </c>
      <c r="C162" s="317" t="s">
        <v>337</v>
      </c>
      <c r="D162" s="317" t="s">
        <v>1163</v>
      </c>
      <c r="E162" s="317" t="s">
        <v>1173</v>
      </c>
      <c r="F162" s="312">
        <v>215000</v>
      </c>
      <c r="G162" s="312">
        <v>215000</v>
      </c>
      <c r="H162" s="123" t="str">
        <f t="shared" si="2"/>
        <v>01130430000000</v>
      </c>
    </row>
    <row r="163" spans="1:8" ht="102">
      <c r="A163" s="316" t="s">
        <v>1809</v>
      </c>
      <c r="B163" s="317" t="s">
        <v>5</v>
      </c>
      <c r="C163" s="317" t="s">
        <v>337</v>
      </c>
      <c r="D163" s="317" t="s">
        <v>1810</v>
      </c>
      <c r="E163" s="317" t="s">
        <v>1173</v>
      </c>
      <c r="F163" s="312">
        <v>65000</v>
      </c>
      <c r="G163" s="312">
        <v>65000</v>
      </c>
      <c r="H163" s="123" t="str">
        <f t="shared" si="2"/>
        <v>01130430080000</v>
      </c>
    </row>
    <row r="164" spans="1:8" ht="38.25">
      <c r="A164" s="316" t="s">
        <v>1319</v>
      </c>
      <c r="B164" s="317" t="s">
        <v>5</v>
      </c>
      <c r="C164" s="317" t="s">
        <v>337</v>
      </c>
      <c r="D164" s="317" t="s">
        <v>1810</v>
      </c>
      <c r="E164" s="317" t="s">
        <v>1320</v>
      </c>
      <c r="F164" s="312">
        <v>65000</v>
      </c>
      <c r="G164" s="312">
        <v>65000</v>
      </c>
      <c r="H164" s="123" t="str">
        <f t="shared" si="2"/>
        <v>01130430080000200</v>
      </c>
    </row>
    <row r="165" spans="1:8" ht="38.25">
      <c r="A165" s="316" t="s">
        <v>1196</v>
      </c>
      <c r="B165" s="317" t="s">
        <v>5</v>
      </c>
      <c r="C165" s="317" t="s">
        <v>337</v>
      </c>
      <c r="D165" s="317" t="s">
        <v>1810</v>
      </c>
      <c r="E165" s="317" t="s">
        <v>1197</v>
      </c>
      <c r="F165" s="312">
        <v>65000</v>
      </c>
      <c r="G165" s="312">
        <v>65000</v>
      </c>
      <c r="H165" s="123" t="str">
        <f t="shared" si="2"/>
        <v>01130430080000240</v>
      </c>
    </row>
    <row r="166" spans="1:8">
      <c r="A166" s="316" t="s">
        <v>1223</v>
      </c>
      <c r="B166" s="317" t="s">
        <v>5</v>
      </c>
      <c r="C166" s="317" t="s">
        <v>337</v>
      </c>
      <c r="D166" s="317" t="s">
        <v>1810</v>
      </c>
      <c r="E166" s="317" t="s">
        <v>329</v>
      </c>
      <c r="F166" s="312">
        <v>65000</v>
      </c>
      <c r="G166" s="312">
        <v>65000</v>
      </c>
      <c r="H166" s="123" t="str">
        <f t="shared" si="2"/>
        <v>01130430080000244</v>
      </c>
    </row>
    <row r="167" spans="1:8" ht="114.75">
      <c r="A167" s="316" t="s">
        <v>1753</v>
      </c>
      <c r="B167" s="317" t="s">
        <v>5</v>
      </c>
      <c r="C167" s="317" t="s">
        <v>337</v>
      </c>
      <c r="D167" s="317" t="s">
        <v>1701</v>
      </c>
      <c r="E167" s="317" t="s">
        <v>1173</v>
      </c>
      <c r="F167" s="312">
        <v>150000</v>
      </c>
      <c r="G167" s="312">
        <v>150000</v>
      </c>
      <c r="H167" s="123" t="str">
        <f t="shared" si="2"/>
        <v>0113043008Ф000</v>
      </c>
    </row>
    <row r="168" spans="1:8" ht="38.25">
      <c r="A168" s="316" t="s">
        <v>1319</v>
      </c>
      <c r="B168" s="317" t="s">
        <v>5</v>
      </c>
      <c r="C168" s="317" t="s">
        <v>337</v>
      </c>
      <c r="D168" s="317" t="s">
        <v>1701</v>
      </c>
      <c r="E168" s="317" t="s">
        <v>1320</v>
      </c>
      <c r="F168" s="312">
        <v>150000</v>
      </c>
      <c r="G168" s="312">
        <v>150000</v>
      </c>
      <c r="H168" s="123" t="str">
        <f t="shared" si="2"/>
        <v>0113043008Ф000200</v>
      </c>
    </row>
    <row r="169" spans="1:8" ht="38.25">
      <c r="A169" s="316" t="s">
        <v>1196</v>
      </c>
      <c r="B169" s="317" t="s">
        <v>5</v>
      </c>
      <c r="C169" s="317" t="s">
        <v>337</v>
      </c>
      <c r="D169" s="317" t="s">
        <v>1701</v>
      </c>
      <c r="E169" s="317" t="s">
        <v>1197</v>
      </c>
      <c r="F169" s="312">
        <v>150000</v>
      </c>
      <c r="G169" s="312">
        <v>150000</v>
      </c>
      <c r="H169" s="123" t="str">
        <f t="shared" si="2"/>
        <v>0113043008Ф000240</v>
      </c>
    </row>
    <row r="170" spans="1:8">
      <c r="A170" s="316" t="s">
        <v>1223</v>
      </c>
      <c r="B170" s="317" t="s">
        <v>5</v>
      </c>
      <c r="C170" s="317" t="s">
        <v>337</v>
      </c>
      <c r="D170" s="317" t="s">
        <v>1701</v>
      </c>
      <c r="E170" s="317" t="s">
        <v>329</v>
      </c>
      <c r="F170" s="312">
        <v>150000</v>
      </c>
      <c r="G170" s="312">
        <v>150000</v>
      </c>
      <c r="H170" s="123" t="str">
        <f t="shared" si="2"/>
        <v>0113043008Ф000244</v>
      </c>
    </row>
    <row r="171" spans="1:8" ht="38.25">
      <c r="A171" s="316" t="s">
        <v>599</v>
      </c>
      <c r="B171" s="317" t="s">
        <v>5</v>
      </c>
      <c r="C171" s="317" t="s">
        <v>337</v>
      </c>
      <c r="D171" s="317" t="s">
        <v>1006</v>
      </c>
      <c r="E171" s="317" t="s">
        <v>1173</v>
      </c>
      <c r="F171" s="312">
        <v>318400</v>
      </c>
      <c r="G171" s="312">
        <v>318400</v>
      </c>
      <c r="H171" s="123" t="str">
        <f t="shared" si="2"/>
        <v>01138000000000</v>
      </c>
    </row>
    <row r="172" spans="1:8" ht="51">
      <c r="A172" s="316" t="s">
        <v>600</v>
      </c>
      <c r="B172" s="317" t="s">
        <v>5</v>
      </c>
      <c r="C172" s="317" t="s">
        <v>337</v>
      </c>
      <c r="D172" s="317" t="s">
        <v>1008</v>
      </c>
      <c r="E172" s="317" t="s">
        <v>1173</v>
      </c>
      <c r="F172" s="312">
        <v>318400</v>
      </c>
      <c r="G172" s="312">
        <v>318400</v>
      </c>
      <c r="H172" s="123" t="str">
        <f t="shared" si="2"/>
        <v>01138020000000</v>
      </c>
    </row>
    <row r="173" spans="1:8" ht="89.25">
      <c r="A173" s="316" t="s">
        <v>542</v>
      </c>
      <c r="B173" s="317" t="s">
        <v>5</v>
      </c>
      <c r="C173" s="317" t="s">
        <v>337</v>
      </c>
      <c r="D173" s="317" t="s">
        <v>653</v>
      </c>
      <c r="E173" s="317" t="s">
        <v>1173</v>
      </c>
      <c r="F173" s="312">
        <v>81000</v>
      </c>
      <c r="G173" s="312">
        <v>81000</v>
      </c>
      <c r="H173" s="123" t="str">
        <f t="shared" si="2"/>
        <v>01138020074290</v>
      </c>
    </row>
    <row r="174" spans="1:8" ht="76.5">
      <c r="A174" s="316" t="s">
        <v>1318</v>
      </c>
      <c r="B174" s="317" t="s">
        <v>5</v>
      </c>
      <c r="C174" s="317" t="s">
        <v>337</v>
      </c>
      <c r="D174" s="317" t="s">
        <v>653</v>
      </c>
      <c r="E174" s="317" t="s">
        <v>273</v>
      </c>
      <c r="F174" s="312">
        <v>77700</v>
      </c>
      <c r="G174" s="312">
        <v>77700</v>
      </c>
      <c r="H174" s="123" t="str">
        <f t="shared" si="2"/>
        <v>01138020074290100</v>
      </c>
    </row>
    <row r="175" spans="1:8" ht="38.25">
      <c r="A175" s="316" t="s">
        <v>1203</v>
      </c>
      <c r="B175" s="317" t="s">
        <v>5</v>
      </c>
      <c r="C175" s="317" t="s">
        <v>337</v>
      </c>
      <c r="D175" s="317" t="s">
        <v>653</v>
      </c>
      <c r="E175" s="317" t="s">
        <v>28</v>
      </c>
      <c r="F175" s="312">
        <v>77700</v>
      </c>
      <c r="G175" s="312">
        <v>77700</v>
      </c>
      <c r="H175" s="123" t="str">
        <f t="shared" si="2"/>
        <v>01138020074290120</v>
      </c>
    </row>
    <row r="176" spans="1:8" ht="25.5">
      <c r="A176" s="316" t="s">
        <v>953</v>
      </c>
      <c r="B176" s="317" t="s">
        <v>5</v>
      </c>
      <c r="C176" s="317" t="s">
        <v>337</v>
      </c>
      <c r="D176" s="317" t="s">
        <v>653</v>
      </c>
      <c r="E176" s="317" t="s">
        <v>324</v>
      </c>
      <c r="F176" s="312">
        <v>59689</v>
      </c>
      <c r="G176" s="312">
        <v>59689</v>
      </c>
      <c r="H176" s="123" t="str">
        <f t="shared" si="2"/>
        <v>01138020074290121</v>
      </c>
    </row>
    <row r="177" spans="1:8" ht="63.75">
      <c r="A177" s="316" t="s">
        <v>1054</v>
      </c>
      <c r="B177" s="317" t="s">
        <v>5</v>
      </c>
      <c r="C177" s="317" t="s">
        <v>337</v>
      </c>
      <c r="D177" s="317" t="s">
        <v>653</v>
      </c>
      <c r="E177" s="317" t="s">
        <v>1055</v>
      </c>
      <c r="F177" s="312">
        <v>18011</v>
      </c>
      <c r="G177" s="312">
        <v>18011</v>
      </c>
      <c r="H177" s="123" t="str">
        <f t="shared" si="2"/>
        <v>01138020074290129</v>
      </c>
    </row>
    <row r="178" spans="1:8" ht="38.25">
      <c r="A178" s="316" t="s">
        <v>1319</v>
      </c>
      <c r="B178" s="317" t="s">
        <v>5</v>
      </c>
      <c r="C178" s="317" t="s">
        <v>337</v>
      </c>
      <c r="D178" s="317" t="s">
        <v>653</v>
      </c>
      <c r="E178" s="317" t="s">
        <v>1320</v>
      </c>
      <c r="F178" s="312">
        <v>3300</v>
      </c>
      <c r="G178" s="312">
        <v>3300</v>
      </c>
      <c r="H178" s="123" t="str">
        <f t="shared" si="2"/>
        <v>01138020074290200</v>
      </c>
    </row>
    <row r="179" spans="1:8" ht="38.25">
      <c r="A179" s="316" t="s">
        <v>1196</v>
      </c>
      <c r="B179" s="317" t="s">
        <v>5</v>
      </c>
      <c r="C179" s="317" t="s">
        <v>337</v>
      </c>
      <c r="D179" s="317" t="s">
        <v>653</v>
      </c>
      <c r="E179" s="317" t="s">
        <v>1197</v>
      </c>
      <c r="F179" s="312">
        <v>3300</v>
      </c>
      <c r="G179" s="312">
        <v>3300</v>
      </c>
      <c r="H179" s="123" t="str">
        <f t="shared" si="2"/>
        <v>01138020074290240</v>
      </c>
    </row>
    <row r="180" spans="1:8">
      <c r="A180" s="316" t="s">
        <v>1223</v>
      </c>
      <c r="B180" s="317" t="s">
        <v>5</v>
      </c>
      <c r="C180" s="317" t="s">
        <v>337</v>
      </c>
      <c r="D180" s="317" t="s">
        <v>653</v>
      </c>
      <c r="E180" s="317" t="s">
        <v>329</v>
      </c>
      <c r="F180" s="312">
        <v>3300</v>
      </c>
      <c r="G180" s="312">
        <v>3300</v>
      </c>
      <c r="H180" s="123" t="str">
        <f t="shared" si="2"/>
        <v>01138020074290244</v>
      </c>
    </row>
    <row r="181" spans="1:8" ht="51">
      <c r="A181" s="316" t="s">
        <v>338</v>
      </c>
      <c r="B181" s="317" t="s">
        <v>5</v>
      </c>
      <c r="C181" s="317" t="s">
        <v>337</v>
      </c>
      <c r="D181" s="317" t="s">
        <v>654</v>
      </c>
      <c r="E181" s="317" t="s">
        <v>1173</v>
      </c>
      <c r="F181" s="312">
        <v>131900</v>
      </c>
      <c r="G181" s="312">
        <v>131900</v>
      </c>
      <c r="H181" s="123" t="str">
        <f t="shared" si="2"/>
        <v>01138020075190</v>
      </c>
    </row>
    <row r="182" spans="1:8" ht="76.5">
      <c r="A182" s="316" t="s">
        <v>1318</v>
      </c>
      <c r="B182" s="317" t="s">
        <v>5</v>
      </c>
      <c r="C182" s="317" t="s">
        <v>337</v>
      </c>
      <c r="D182" s="317" t="s">
        <v>654</v>
      </c>
      <c r="E182" s="317" t="s">
        <v>273</v>
      </c>
      <c r="F182" s="312">
        <v>109547</v>
      </c>
      <c r="G182" s="312">
        <v>109547</v>
      </c>
      <c r="H182" s="123" t="str">
        <f t="shared" si="2"/>
        <v>01138020075190100</v>
      </c>
    </row>
    <row r="183" spans="1:8" ht="38.25">
      <c r="A183" s="316" t="s">
        <v>1203</v>
      </c>
      <c r="B183" s="317" t="s">
        <v>5</v>
      </c>
      <c r="C183" s="317" t="s">
        <v>337</v>
      </c>
      <c r="D183" s="317" t="s">
        <v>654</v>
      </c>
      <c r="E183" s="317" t="s">
        <v>28</v>
      </c>
      <c r="F183" s="312">
        <v>109547</v>
      </c>
      <c r="G183" s="312">
        <v>109547</v>
      </c>
      <c r="H183" s="123" t="str">
        <f t="shared" si="2"/>
        <v>01138020075190120</v>
      </c>
    </row>
    <row r="184" spans="1:8" ht="25.5">
      <c r="A184" s="316" t="s">
        <v>953</v>
      </c>
      <c r="B184" s="317" t="s">
        <v>5</v>
      </c>
      <c r="C184" s="317" t="s">
        <v>337</v>
      </c>
      <c r="D184" s="317" t="s">
        <v>654</v>
      </c>
      <c r="E184" s="317" t="s">
        <v>324</v>
      </c>
      <c r="F184" s="312">
        <v>84137</v>
      </c>
      <c r="G184" s="312">
        <v>84137</v>
      </c>
      <c r="H184" s="123" t="str">
        <f t="shared" si="2"/>
        <v>01138020075190121</v>
      </c>
    </row>
    <row r="185" spans="1:8" ht="63.75">
      <c r="A185" s="316" t="s">
        <v>1054</v>
      </c>
      <c r="B185" s="317" t="s">
        <v>5</v>
      </c>
      <c r="C185" s="317" t="s">
        <v>337</v>
      </c>
      <c r="D185" s="317" t="s">
        <v>654</v>
      </c>
      <c r="E185" s="317" t="s">
        <v>1055</v>
      </c>
      <c r="F185" s="312">
        <v>25410</v>
      </c>
      <c r="G185" s="312">
        <v>25410</v>
      </c>
      <c r="H185" s="123" t="str">
        <f t="shared" si="2"/>
        <v>01138020075190129</v>
      </c>
    </row>
    <row r="186" spans="1:8" ht="38.25">
      <c r="A186" s="316" t="s">
        <v>1319</v>
      </c>
      <c r="B186" s="317" t="s">
        <v>5</v>
      </c>
      <c r="C186" s="317" t="s">
        <v>337</v>
      </c>
      <c r="D186" s="317" t="s">
        <v>654</v>
      </c>
      <c r="E186" s="317" t="s">
        <v>1320</v>
      </c>
      <c r="F186" s="312">
        <v>22353</v>
      </c>
      <c r="G186" s="312">
        <v>22353</v>
      </c>
      <c r="H186" s="123" t="str">
        <f t="shared" si="2"/>
        <v>01138020075190200</v>
      </c>
    </row>
    <row r="187" spans="1:8" ht="38.25">
      <c r="A187" s="316" t="s">
        <v>1196</v>
      </c>
      <c r="B187" s="317" t="s">
        <v>5</v>
      </c>
      <c r="C187" s="317" t="s">
        <v>337</v>
      </c>
      <c r="D187" s="317" t="s">
        <v>654</v>
      </c>
      <c r="E187" s="317" t="s">
        <v>1197</v>
      </c>
      <c r="F187" s="312">
        <v>22353</v>
      </c>
      <c r="G187" s="312">
        <v>22353</v>
      </c>
      <c r="H187" s="123" t="str">
        <f t="shared" si="2"/>
        <v>01138020075190240</v>
      </c>
    </row>
    <row r="188" spans="1:8">
      <c r="A188" s="316" t="s">
        <v>1223</v>
      </c>
      <c r="B188" s="317" t="s">
        <v>5</v>
      </c>
      <c r="C188" s="317" t="s">
        <v>337</v>
      </c>
      <c r="D188" s="317" t="s">
        <v>654</v>
      </c>
      <c r="E188" s="317" t="s">
        <v>329</v>
      </c>
      <c r="F188" s="312">
        <v>22353</v>
      </c>
      <c r="G188" s="312">
        <v>22353</v>
      </c>
      <c r="H188" s="123" t="str">
        <f t="shared" si="2"/>
        <v>01138020075190244</v>
      </c>
    </row>
    <row r="189" spans="1:8" ht="178.5">
      <c r="A189" s="316" t="s">
        <v>1838</v>
      </c>
      <c r="B189" s="317" t="s">
        <v>5</v>
      </c>
      <c r="C189" s="317" t="s">
        <v>337</v>
      </c>
      <c r="D189" s="317" t="s">
        <v>1839</v>
      </c>
      <c r="E189" s="317" t="s">
        <v>1173</v>
      </c>
      <c r="F189" s="312">
        <v>105500</v>
      </c>
      <c r="G189" s="312">
        <v>105500</v>
      </c>
      <c r="H189" s="123" t="str">
        <f t="shared" si="2"/>
        <v>01138020078460</v>
      </c>
    </row>
    <row r="190" spans="1:8" ht="76.5">
      <c r="A190" s="316" t="s">
        <v>1318</v>
      </c>
      <c r="B190" s="317" t="s">
        <v>5</v>
      </c>
      <c r="C190" s="317" t="s">
        <v>337</v>
      </c>
      <c r="D190" s="317" t="s">
        <v>1839</v>
      </c>
      <c r="E190" s="317" t="s">
        <v>273</v>
      </c>
      <c r="F190" s="312">
        <v>102600</v>
      </c>
      <c r="G190" s="312">
        <v>102600</v>
      </c>
      <c r="H190" s="123" t="str">
        <f t="shared" si="2"/>
        <v>01138020078460100</v>
      </c>
    </row>
    <row r="191" spans="1:8" ht="38.25">
      <c r="A191" s="316" t="s">
        <v>1203</v>
      </c>
      <c r="B191" s="317" t="s">
        <v>5</v>
      </c>
      <c r="C191" s="317" t="s">
        <v>337</v>
      </c>
      <c r="D191" s="317" t="s">
        <v>1839</v>
      </c>
      <c r="E191" s="317" t="s">
        <v>28</v>
      </c>
      <c r="F191" s="312">
        <v>102600</v>
      </c>
      <c r="G191" s="312">
        <v>102600</v>
      </c>
      <c r="H191" s="123" t="str">
        <f t="shared" si="2"/>
        <v>01138020078460120</v>
      </c>
    </row>
    <row r="192" spans="1:8" ht="25.5">
      <c r="A192" s="316" t="s">
        <v>953</v>
      </c>
      <c r="B192" s="317" t="s">
        <v>5</v>
      </c>
      <c r="C192" s="317" t="s">
        <v>337</v>
      </c>
      <c r="D192" s="317" t="s">
        <v>1839</v>
      </c>
      <c r="E192" s="317" t="s">
        <v>324</v>
      </c>
      <c r="F192" s="312">
        <v>78801</v>
      </c>
      <c r="G192" s="312">
        <v>78801</v>
      </c>
      <c r="H192" s="123" t="str">
        <f t="shared" ref="H192:H243" si="3">CONCATENATE(C192,,D192,E192)</f>
        <v>01138020078460121</v>
      </c>
    </row>
    <row r="193" spans="1:8" ht="63.75">
      <c r="A193" s="316" t="s">
        <v>1054</v>
      </c>
      <c r="B193" s="317" t="s">
        <v>5</v>
      </c>
      <c r="C193" s="317" t="s">
        <v>337</v>
      </c>
      <c r="D193" s="317" t="s">
        <v>1839</v>
      </c>
      <c r="E193" s="317" t="s">
        <v>1055</v>
      </c>
      <c r="F193" s="312">
        <v>23799</v>
      </c>
      <c r="G193" s="312">
        <v>23799</v>
      </c>
      <c r="H193" s="123" t="str">
        <f t="shared" si="3"/>
        <v>01138020078460129</v>
      </c>
    </row>
    <row r="194" spans="1:8" ht="38.25">
      <c r="A194" s="316" t="s">
        <v>1319</v>
      </c>
      <c r="B194" s="317" t="s">
        <v>5</v>
      </c>
      <c r="C194" s="317" t="s">
        <v>337</v>
      </c>
      <c r="D194" s="317" t="s">
        <v>1839</v>
      </c>
      <c r="E194" s="317" t="s">
        <v>1320</v>
      </c>
      <c r="F194" s="312">
        <v>2900</v>
      </c>
      <c r="G194" s="312">
        <v>2900</v>
      </c>
      <c r="H194" s="123" t="str">
        <f t="shared" si="3"/>
        <v>01138020078460200</v>
      </c>
    </row>
    <row r="195" spans="1:8" ht="38.25">
      <c r="A195" s="316" t="s">
        <v>1196</v>
      </c>
      <c r="B195" s="317" t="s">
        <v>5</v>
      </c>
      <c r="C195" s="317" t="s">
        <v>337</v>
      </c>
      <c r="D195" s="317" t="s">
        <v>1839</v>
      </c>
      <c r="E195" s="317" t="s">
        <v>1197</v>
      </c>
      <c r="F195" s="312">
        <v>2900</v>
      </c>
      <c r="G195" s="312">
        <v>2900</v>
      </c>
      <c r="H195" s="123" t="str">
        <f t="shared" si="3"/>
        <v>01138020078460240</v>
      </c>
    </row>
    <row r="196" spans="1:8">
      <c r="A196" s="316" t="s">
        <v>1223</v>
      </c>
      <c r="B196" s="317" t="s">
        <v>5</v>
      </c>
      <c r="C196" s="317" t="s">
        <v>337</v>
      </c>
      <c r="D196" s="317" t="s">
        <v>1839</v>
      </c>
      <c r="E196" s="317" t="s">
        <v>329</v>
      </c>
      <c r="F196" s="312">
        <v>2900</v>
      </c>
      <c r="G196" s="312">
        <v>2900</v>
      </c>
      <c r="H196" s="123" t="str">
        <f t="shared" si="3"/>
        <v>01138020078460244</v>
      </c>
    </row>
    <row r="197" spans="1:8" ht="25.5">
      <c r="A197" s="316" t="s">
        <v>601</v>
      </c>
      <c r="B197" s="317" t="s">
        <v>5</v>
      </c>
      <c r="C197" s="317" t="s">
        <v>337</v>
      </c>
      <c r="D197" s="317" t="s">
        <v>1011</v>
      </c>
      <c r="E197" s="317" t="s">
        <v>1173</v>
      </c>
      <c r="F197" s="312">
        <v>60000</v>
      </c>
      <c r="G197" s="312">
        <v>60000</v>
      </c>
      <c r="H197" s="123" t="str">
        <f t="shared" si="3"/>
        <v>01139000000000</v>
      </c>
    </row>
    <row r="198" spans="1:8" ht="76.5">
      <c r="A198" s="316" t="s">
        <v>2040</v>
      </c>
      <c r="B198" s="317" t="s">
        <v>5</v>
      </c>
      <c r="C198" s="317" t="s">
        <v>337</v>
      </c>
      <c r="D198" s="317" t="s">
        <v>1014</v>
      </c>
      <c r="E198" s="317" t="s">
        <v>1173</v>
      </c>
      <c r="F198" s="312">
        <v>60000</v>
      </c>
      <c r="G198" s="312">
        <v>60000</v>
      </c>
      <c r="H198" s="123" t="str">
        <f t="shared" si="3"/>
        <v>01139060000000</v>
      </c>
    </row>
    <row r="199" spans="1:8" ht="76.5">
      <c r="A199" s="316" t="s">
        <v>2040</v>
      </c>
      <c r="B199" s="317" t="s">
        <v>5</v>
      </c>
      <c r="C199" s="317" t="s">
        <v>337</v>
      </c>
      <c r="D199" s="317" t="s">
        <v>655</v>
      </c>
      <c r="E199" s="317" t="s">
        <v>1173</v>
      </c>
      <c r="F199" s="312">
        <v>60000</v>
      </c>
      <c r="G199" s="312">
        <v>60000</v>
      </c>
      <c r="H199" s="123" t="str">
        <f t="shared" si="3"/>
        <v>01139060080000</v>
      </c>
    </row>
    <row r="200" spans="1:8" ht="25.5">
      <c r="A200" s="316" t="s">
        <v>1323</v>
      </c>
      <c r="B200" s="317" t="s">
        <v>5</v>
      </c>
      <c r="C200" s="317" t="s">
        <v>337</v>
      </c>
      <c r="D200" s="317" t="s">
        <v>655</v>
      </c>
      <c r="E200" s="317" t="s">
        <v>1324</v>
      </c>
      <c r="F200" s="312">
        <v>60000</v>
      </c>
      <c r="G200" s="312">
        <v>60000</v>
      </c>
      <c r="H200" s="123" t="str">
        <f t="shared" si="3"/>
        <v>01139060080000300</v>
      </c>
    </row>
    <row r="201" spans="1:8" ht="25.5">
      <c r="A201" s="316" t="s">
        <v>339</v>
      </c>
      <c r="B201" s="317" t="s">
        <v>5</v>
      </c>
      <c r="C201" s="317" t="s">
        <v>337</v>
      </c>
      <c r="D201" s="317" t="s">
        <v>655</v>
      </c>
      <c r="E201" s="317" t="s">
        <v>340</v>
      </c>
      <c r="F201" s="312">
        <v>60000</v>
      </c>
      <c r="G201" s="312">
        <v>60000</v>
      </c>
      <c r="H201" s="123" t="str">
        <f t="shared" si="3"/>
        <v>01139060080000330</v>
      </c>
    </row>
    <row r="202" spans="1:8" ht="38.25">
      <c r="A202" s="316" t="s">
        <v>238</v>
      </c>
      <c r="B202" s="317" t="s">
        <v>5</v>
      </c>
      <c r="C202" s="317" t="s">
        <v>1137</v>
      </c>
      <c r="D202" s="317" t="s">
        <v>1173</v>
      </c>
      <c r="E202" s="317" t="s">
        <v>1173</v>
      </c>
      <c r="F202" s="312">
        <v>7601970.1399999997</v>
      </c>
      <c r="G202" s="312">
        <v>7601970.1399999997</v>
      </c>
      <c r="H202" s="123" t="str">
        <f t="shared" si="3"/>
        <v>0300</v>
      </c>
    </row>
    <row r="203" spans="1:8" ht="51">
      <c r="A203" s="316" t="s">
        <v>1705</v>
      </c>
      <c r="B203" s="317" t="s">
        <v>5</v>
      </c>
      <c r="C203" s="317" t="s">
        <v>345</v>
      </c>
      <c r="D203" s="317" t="s">
        <v>1173</v>
      </c>
      <c r="E203" s="317" t="s">
        <v>1173</v>
      </c>
      <c r="F203" s="312">
        <v>5901970.1399999997</v>
      </c>
      <c r="G203" s="312">
        <v>5901970.1399999997</v>
      </c>
      <c r="H203" s="123" t="str">
        <f t="shared" si="3"/>
        <v>0310</v>
      </c>
    </row>
    <row r="204" spans="1:8" ht="63.75">
      <c r="A204" s="316" t="s">
        <v>1751</v>
      </c>
      <c r="B204" s="317" t="s">
        <v>5</v>
      </c>
      <c r="C204" s="317" t="s">
        <v>345</v>
      </c>
      <c r="D204" s="317" t="s">
        <v>978</v>
      </c>
      <c r="E204" s="317" t="s">
        <v>1173</v>
      </c>
      <c r="F204" s="312">
        <v>5901970.1399999997</v>
      </c>
      <c r="G204" s="312">
        <v>5901970.1399999997</v>
      </c>
      <c r="H204" s="123" t="str">
        <f t="shared" si="3"/>
        <v>03100400000000</v>
      </c>
    </row>
    <row r="205" spans="1:8" ht="89.25">
      <c r="A205" s="316" t="s">
        <v>457</v>
      </c>
      <c r="B205" s="317" t="s">
        <v>5</v>
      </c>
      <c r="C205" s="317" t="s">
        <v>345</v>
      </c>
      <c r="D205" s="317" t="s">
        <v>979</v>
      </c>
      <c r="E205" s="317" t="s">
        <v>1173</v>
      </c>
      <c r="F205" s="312">
        <v>5688522.1399999997</v>
      </c>
      <c r="G205" s="312">
        <v>5688522.1399999997</v>
      </c>
      <c r="H205" s="123" t="str">
        <f t="shared" si="3"/>
        <v>03100410000000</v>
      </c>
    </row>
    <row r="206" spans="1:8" ht="165.75">
      <c r="A206" s="316" t="s">
        <v>341</v>
      </c>
      <c r="B206" s="317" t="s">
        <v>5</v>
      </c>
      <c r="C206" s="317" t="s">
        <v>345</v>
      </c>
      <c r="D206" s="317" t="s">
        <v>656</v>
      </c>
      <c r="E206" s="317" t="s">
        <v>1173</v>
      </c>
      <c r="F206" s="312">
        <v>5346382</v>
      </c>
      <c r="G206" s="312">
        <v>5346382</v>
      </c>
      <c r="H206" s="123" t="str">
        <f t="shared" si="3"/>
        <v>03100410040010</v>
      </c>
    </row>
    <row r="207" spans="1:8" ht="76.5">
      <c r="A207" s="316" t="s">
        <v>1318</v>
      </c>
      <c r="B207" s="317" t="s">
        <v>5</v>
      </c>
      <c r="C207" s="317" t="s">
        <v>345</v>
      </c>
      <c r="D207" s="317" t="s">
        <v>656</v>
      </c>
      <c r="E207" s="317" t="s">
        <v>273</v>
      </c>
      <c r="F207" s="312">
        <v>5336382</v>
      </c>
      <c r="G207" s="312">
        <v>5336382</v>
      </c>
      <c r="H207" s="123" t="str">
        <f t="shared" si="3"/>
        <v>03100410040010100</v>
      </c>
    </row>
    <row r="208" spans="1:8" ht="25.5">
      <c r="A208" s="316" t="s">
        <v>1190</v>
      </c>
      <c r="B208" s="317" t="s">
        <v>5</v>
      </c>
      <c r="C208" s="317" t="s">
        <v>345</v>
      </c>
      <c r="D208" s="317" t="s">
        <v>656</v>
      </c>
      <c r="E208" s="317" t="s">
        <v>133</v>
      </c>
      <c r="F208" s="312">
        <v>5336382</v>
      </c>
      <c r="G208" s="312">
        <v>5336382</v>
      </c>
      <c r="H208" s="123" t="str">
        <f t="shared" si="3"/>
        <v>03100410040010110</v>
      </c>
    </row>
    <row r="209" spans="1:8">
      <c r="A209" s="316" t="s">
        <v>1138</v>
      </c>
      <c r="B209" s="317" t="s">
        <v>5</v>
      </c>
      <c r="C209" s="317" t="s">
        <v>345</v>
      </c>
      <c r="D209" s="317" t="s">
        <v>656</v>
      </c>
      <c r="E209" s="317" t="s">
        <v>342</v>
      </c>
      <c r="F209" s="312">
        <v>4098604</v>
      </c>
      <c r="G209" s="312">
        <v>4098604</v>
      </c>
      <c r="H209" s="123" t="str">
        <f t="shared" si="3"/>
        <v>03100410040010111</v>
      </c>
    </row>
    <row r="210" spans="1:8" ht="51">
      <c r="A210" s="316" t="s">
        <v>1139</v>
      </c>
      <c r="B210" s="317" t="s">
        <v>5</v>
      </c>
      <c r="C210" s="317" t="s">
        <v>345</v>
      </c>
      <c r="D210" s="317" t="s">
        <v>656</v>
      </c>
      <c r="E210" s="317" t="s">
        <v>1056</v>
      </c>
      <c r="F210" s="312">
        <v>1237778</v>
      </c>
      <c r="G210" s="312">
        <v>1237778</v>
      </c>
      <c r="H210" s="123" t="str">
        <f t="shared" si="3"/>
        <v>03100410040010119</v>
      </c>
    </row>
    <row r="211" spans="1:8" ht="38.25">
      <c r="A211" s="316" t="s">
        <v>1319</v>
      </c>
      <c r="B211" s="317" t="s">
        <v>5</v>
      </c>
      <c r="C211" s="317" t="s">
        <v>345</v>
      </c>
      <c r="D211" s="317" t="s">
        <v>656</v>
      </c>
      <c r="E211" s="317" t="s">
        <v>1320</v>
      </c>
      <c r="F211" s="312">
        <v>10000</v>
      </c>
      <c r="G211" s="312">
        <v>10000</v>
      </c>
      <c r="H211" s="123" t="str">
        <f t="shared" si="3"/>
        <v>03100410040010200</v>
      </c>
    </row>
    <row r="212" spans="1:8" ht="38.25">
      <c r="A212" s="316" t="s">
        <v>1196</v>
      </c>
      <c r="B212" s="317" t="s">
        <v>5</v>
      </c>
      <c r="C212" s="317" t="s">
        <v>345</v>
      </c>
      <c r="D212" s="317" t="s">
        <v>656</v>
      </c>
      <c r="E212" s="317" t="s">
        <v>1197</v>
      </c>
      <c r="F212" s="312">
        <v>10000</v>
      </c>
      <c r="G212" s="312">
        <v>10000</v>
      </c>
      <c r="H212" s="123" t="str">
        <f t="shared" si="3"/>
        <v>03100410040010240</v>
      </c>
    </row>
    <row r="213" spans="1:8">
      <c r="A213" s="316" t="s">
        <v>1223</v>
      </c>
      <c r="B213" s="317" t="s">
        <v>5</v>
      </c>
      <c r="C213" s="317" t="s">
        <v>345</v>
      </c>
      <c r="D213" s="317" t="s">
        <v>656</v>
      </c>
      <c r="E213" s="317" t="s">
        <v>329</v>
      </c>
      <c r="F213" s="312">
        <v>10000</v>
      </c>
      <c r="G213" s="312">
        <v>10000</v>
      </c>
      <c r="H213" s="123" t="str">
        <f t="shared" si="3"/>
        <v>03100410040010244</v>
      </c>
    </row>
    <row r="214" spans="1:8" ht="191.25">
      <c r="A214" s="316" t="s">
        <v>1702</v>
      </c>
      <c r="B214" s="317" t="s">
        <v>5</v>
      </c>
      <c r="C214" s="317" t="s">
        <v>345</v>
      </c>
      <c r="D214" s="317" t="s">
        <v>1703</v>
      </c>
      <c r="E214" s="317" t="s">
        <v>1173</v>
      </c>
      <c r="F214" s="312">
        <v>30000</v>
      </c>
      <c r="G214" s="312">
        <v>30000</v>
      </c>
      <c r="H214" s="123" t="str">
        <f t="shared" si="3"/>
        <v>0310041004Ф010</v>
      </c>
    </row>
    <row r="215" spans="1:8" ht="38.25">
      <c r="A215" s="316" t="s">
        <v>1319</v>
      </c>
      <c r="B215" s="317" t="s">
        <v>5</v>
      </c>
      <c r="C215" s="317" t="s">
        <v>345</v>
      </c>
      <c r="D215" s="317" t="s">
        <v>1703</v>
      </c>
      <c r="E215" s="317" t="s">
        <v>1320</v>
      </c>
      <c r="F215" s="312">
        <v>30000</v>
      </c>
      <c r="G215" s="312">
        <v>30000</v>
      </c>
      <c r="H215" s="123" t="str">
        <f t="shared" si="3"/>
        <v>0310041004Ф010200</v>
      </c>
    </row>
    <row r="216" spans="1:8" ht="38.25">
      <c r="A216" s="316" t="s">
        <v>1196</v>
      </c>
      <c r="B216" s="317" t="s">
        <v>5</v>
      </c>
      <c r="C216" s="317" t="s">
        <v>345</v>
      </c>
      <c r="D216" s="317" t="s">
        <v>1703</v>
      </c>
      <c r="E216" s="317" t="s">
        <v>1197</v>
      </c>
      <c r="F216" s="312">
        <v>30000</v>
      </c>
      <c r="G216" s="312">
        <v>30000</v>
      </c>
      <c r="H216" s="123" t="str">
        <f t="shared" si="3"/>
        <v>0310041004Ф010240</v>
      </c>
    </row>
    <row r="217" spans="1:8">
      <c r="A217" s="316" t="s">
        <v>1223</v>
      </c>
      <c r="B217" s="317" t="s">
        <v>5</v>
      </c>
      <c r="C217" s="317" t="s">
        <v>345</v>
      </c>
      <c r="D217" s="317" t="s">
        <v>1703</v>
      </c>
      <c r="E217" s="317" t="s">
        <v>329</v>
      </c>
      <c r="F217" s="312">
        <v>30000</v>
      </c>
      <c r="G217" s="312">
        <v>30000</v>
      </c>
      <c r="H217" s="123" t="str">
        <f t="shared" si="3"/>
        <v>0310041004Ф010244</v>
      </c>
    </row>
    <row r="218" spans="1:8" ht="153">
      <c r="A218" s="316" t="s">
        <v>351</v>
      </c>
      <c r="B218" s="317" t="s">
        <v>5</v>
      </c>
      <c r="C218" s="317" t="s">
        <v>345</v>
      </c>
      <c r="D218" s="317" t="s">
        <v>1704</v>
      </c>
      <c r="E218" s="317" t="s">
        <v>1173</v>
      </c>
      <c r="F218" s="312">
        <v>22000</v>
      </c>
      <c r="G218" s="312">
        <v>22000</v>
      </c>
      <c r="H218" s="123" t="str">
        <f t="shared" si="3"/>
        <v>03100410080000</v>
      </c>
    </row>
    <row r="219" spans="1:8" ht="38.25">
      <c r="A219" s="316" t="s">
        <v>1319</v>
      </c>
      <c r="B219" s="317" t="s">
        <v>5</v>
      </c>
      <c r="C219" s="317" t="s">
        <v>345</v>
      </c>
      <c r="D219" s="317" t="s">
        <v>1704</v>
      </c>
      <c r="E219" s="317" t="s">
        <v>1320</v>
      </c>
      <c r="F219" s="312">
        <v>22000</v>
      </c>
      <c r="G219" s="312">
        <v>22000</v>
      </c>
      <c r="H219" s="123" t="str">
        <f t="shared" si="3"/>
        <v>03100410080000200</v>
      </c>
    </row>
    <row r="220" spans="1:8" ht="38.25">
      <c r="A220" s="316" t="s">
        <v>1196</v>
      </c>
      <c r="B220" s="317" t="s">
        <v>5</v>
      </c>
      <c r="C220" s="317" t="s">
        <v>345</v>
      </c>
      <c r="D220" s="317" t="s">
        <v>1704</v>
      </c>
      <c r="E220" s="317" t="s">
        <v>1197</v>
      </c>
      <c r="F220" s="312">
        <v>22000</v>
      </c>
      <c r="G220" s="312">
        <v>22000</v>
      </c>
      <c r="H220" s="123" t="str">
        <f t="shared" si="3"/>
        <v>03100410080000240</v>
      </c>
    </row>
    <row r="221" spans="1:8">
      <c r="A221" s="316" t="s">
        <v>1223</v>
      </c>
      <c r="B221" s="317" t="s">
        <v>5</v>
      </c>
      <c r="C221" s="317" t="s">
        <v>345</v>
      </c>
      <c r="D221" s="317" t="s">
        <v>1704</v>
      </c>
      <c r="E221" s="317" t="s">
        <v>329</v>
      </c>
      <c r="F221" s="312">
        <v>22000</v>
      </c>
      <c r="G221" s="312">
        <v>22000</v>
      </c>
      <c r="H221" s="123" t="str">
        <f t="shared" si="3"/>
        <v>03100410080000244</v>
      </c>
    </row>
    <row r="222" spans="1:8" ht="191.25">
      <c r="A222" s="316" t="s">
        <v>1943</v>
      </c>
      <c r="B222" s="317" t="s">
        <v>5</v>
      </c>
      <c r="C222" s="317" t="s">
        <v>345</v>
      </c>
      <c r="D222" s="317" t="s">
        <v>1944</v>
      </c>
      <c r="E222" s="317" t="s">
        <v>1173</v>
      </c>
      <c r="F222" s="312">
        <v>150000</v>
      </c>
      <c r="G222" s="312">
        <v>150000</v>
      </c>
      <c r="H222" s="123" t="str">
        <f t="shared" si="3"/>
        <v>0310041008Ф090</v>
      </c>
    </row>
    <row r="223" spans="1:8" ht="38.25">
      <c r="A223" s="316" t="s">
        <v>1319</v>
      </c>
      <c r="B223" s="317" t="s">
        <v>5</v>
      </c>
      <c r="C223" s="317" t="s">
        <v>345</v>
      </c>
      <c r="D223" s="317" t="s">
        <v>1944</v>
      </c>
      <c r="E223" s="317" t="s">
        <v>1320</v>
      </c>
      <c r="F223" s="312">
        <v>150000</v>
      </c>
      <c r="G223" s="312">
        <v>150000</v>
      </c>
      <c r="H223" s="123" t="str">
        <f t="shared" si="3"/>
        <v>0310041008Ф090200</v>
      </c>
    </row>
    <row r="224" spans="1:8" ht="38.25">
      <c r="A224" s="316" t="s">
        <v>1196</v>
      </c>
      <c r="B224" s="317" t="s">
        <v>5</v>
      </c>
      <c r="C224" s="317" t="s">
        <v>345</v>
      </c>
      <c r="D224" s="317" t="s">
        <v>1944</v>
      </c>
      <c r="E224" s="317" t="s">
        <v>1197</v>
      </c>
      <c r="F224" s="312">
        <v>150000</v>
      </c>
      <c r="G224" s="312">
        <v>150000</v>
      </c>
      <c r="H224" s="123" t="str">
        <f t="shared" si="3"/>
        <v>0310041008Ф090240</v>
      </c>
    </row>
    <row r="225" spans="1:8">
      <c r="A225" s="316" t="s">
        <v>1223</v>
      </c>
      <c r="B225" s="317" t="s">
        <v>5</v>
      </c>
      <c r="C225" s="317" t="s">
        <v>345</v>
      </c>
      <c r="D225" s="317" t="s">
        <v>1944</v>
      </c>
      <c r="E225" s="317" t="s">
        <v>329</v>
      </c>
      <c r="F225" s="312">
        <v>150000</v>
      </c>
      <c r="G225" s="312">
        <v>150000</v>
      </c>
      <c r="H225" s="123" t="str">
        <f t="shared" si="3"/>
        <v>0310041008Ф090244</v>
      </c>
    </row>
    <row r="226" spans="1:8" ht="191.25">
      <c r="A226" s="316" t="s">
        <v>1512</v>
      </c>
      <c r="B226" s="317" t="s">
        <v>5</v>
      </c>
      <c r="C226" s="317" t="s">
        <v>345</v>
      </c>
      <c r="D226" s="317" t="s">
        <v>1341</v>
      </c>
      <c r="E226" s="317" t="s">
        <v>1173</v>
      </c>
      <c r="F226" s="312">
        <v>140140.14000000001</v>
      </c>
      <c r="G226" s="312">
        <v>140140.14000000001</v>
      </c>
      <c r="H226" s="123" t="str">
        <f t="shared" si="3"/>
        <v>031004100S4130</v>
      </c>
    </row>
    <row r="227" spans="1:8" ht="38.25">
      <c r="A227" s="316" t="s">
        <v>1319</v>
      </c>
      <c r="B227" s="317" t="s">
        <v>5</v>
      </c>
      <c r="C227" s="317" t="s">
        <v>345</v>
      </c>
      <c r="D227" s="317" t="s">
        <v>1341</v>
      </c>
      <c r="E227" s="317" t="s">
        <v>1320</v>
      </c>
      <c r="F227" s="312">
        <v>140140.14000000001</v>
      </c>
      <c r="G227" s="312">
        <v>140140.14000000001</v>
      </c>
      <c r="H227" s="123" t="str">
        <f t="shared" si="3"/>
        <v>031004100S4130200</v>
      </c>
    </row>
    <row r="228" spans="1:8" ht="38.25">
      <c r="A228" s="316" t="s">
        <v>1196</v>
      </c>
      <c r="B228" s="317" t="s">
        <v>5</v>
      </c>
      <c r="C228" s="317" t="s">
        <v>345</v>
      </c>
      <c r="D228" s="317" t="s">
        <v>1341</v>
      </c>
      <c r="E228" s="317" t="s">
        <v>1197</v>
      </c>
      <c r="F228" s="312">
        <v>140140.14000000001</v>
      </c>
      <c r="G228" s="312">
        <v>140140.14000000001</v>
      </c>
      <c r="H228" s="123" t="str">
        <f t="shared" si="3"/>
        <v>031004100S4130240</v>
      </c>
    </row>
    <row r="229" spans="1:8">
      <c r="A229" s="316" t="s">
        <v>1223</v>
      </c>
      <c r="B229" s="317" t="s">
        <v>5</v>
      </c>
      <c r="C229" s="317" t="s">
        <v>345</v>
      </c>
      <c r="D229" s="317" t="s">
        <v>1341</v>
      </c>
      <c r="E229" s="317" t="s">
        <v>329</v>
      </c>
      <c r="F229" s="312">
        <v>140140.14000000001</v>
      </c>
      <c r="G229" s="312">
        <v>140140.14000000001</v>
      </c>
      <c r="H229" s="123" t="str">
        <f t="shared" si="3"/>
        <v>031004100S4130244</v>
      </c>
    </row>
    <row r="230" spans="1:8" ht="25.5">
      <c r="A230" s="316" t="s">
        <v>459</v>
      </c>
      <c r="B230" s="317" t="s">
        <v>5</v>
      </c>
      <c r="C230" s="317" t="s">
        <v>345</v>
      </c>
      <c r="D230" s="317" t="s">
        <v>980</v>
      </c>
      <c r="E230" s="317" t="s">
        <v>1173</v>
      </c>
      <c r="F230" s="312">
        <v>213448</v>
      </c>
      <c r="G230" s="312">
        <v>213448</v>
      </c>
      <c r="H230" s="123" t="str">
        <f t="shared" si="3"/>
        <v>03100420000000</v>
      </c>
    </row>
    <row r="231" spans="1:8" ht="127.5">
      <c r="A231" s="316" t="s">
        <v>349</v>
      </c>
      <c r="B231" s="317" t="s">
        <v>5</v>
      </c>
      <c r="C231" s="317" t="s">
        <v>345</v>
      </c>
      <c r="D231" s="317" t="s">
        <v>661</v>
      </c>
      <c r="E231" s="317" t="s">
        <v>1173</v>
      </c>
      <c r="F231" s="312">
        <v>150000</v>
      </c>
      <c r="G231" s="312">
        <v>150000</v>
      </c>
      <c r="H231" s="123" t="str">
        <f t="shared" si="3"/>
        <v>03100420080020</v>
      </c>
    </row>
    <row r="232" spans="1:8" ht="38.25">
      <c r="A232" s="316" t="s">
        <v>1319</v>
      </c>
      <c r="B232" s="317" t="s">
        <v>5</v>
      </c>
      <c r="C232" s="317" t="s">
        <v>345</v>
      </c>
      <c r="D232" s="317" t="s">
        <v>661</v>
      </c>
      <c r="E232" s="317" t="s">
        <v>1320</v>
      </c>
      <c r="F232" s="312">
        <v>150000</v>
      </c>
      <c r="G232" s="312">
        <v>150000</v>
      </c>
      <c r="H232" s="123" t="str">
        <f t="shared" si="3"/>
        <v>03100420080020200</v>
      </c>
    </row>
    <row r="233" spans="1:8" ht="38.25">
      <c r="A233" s="316" t="s">
        <v>1196</v>
      </c>
      <c r="B233" s="317" t="s">
        <v>5</v>
      </c>
      <c r="C233" s="317" t="s">
        <v>345</v>
      </c>
      <c r="D233" s="317" t="s">
        <v>661</v>
      </c>
      <c r="E233" s="317" t="s">
        <v>1197</v>
      </c>
      <c r="F233" s="312">
        <v>150000</v>
      </c>
      <c r="G233" s="312">
        <v>150000</v>
      </c>
      <c r="H233" s="123" t="str">
        <f t="shared" si="3"/>
        <v>03100420080020240</v>
      </c>
    </row>
    <row r="234" spans="1:8">
      <c r="A234" s="316" t="s">
        <v>1223</v>
      </c>
      <c r="B234" s="317" t="s">
        <v>5</v>
      </c>
      <c r="C234" s="317" t="s">
        <v>345</v>
      </c>
      <c r="D234" s="317" t="s">
        <v>661</v>
      </c>
      <c r="E234" s="317" t="s">
        <v>329</v>
      </c>
      <c r="F234" s="312">
        <v>150000</v>
      </c>
      <c r="G234" s="312">
        <v>150000</v>
      </c>
      <c r="H234" s="123" t="str">
        <f t="shared" si="3"/>
        <v>03100420080020244</v>
      </c>
    </row>
    <row r="235" spans="1:8" ht="114.75">
      <c r="A235" s="316" t="s">
        <v>350</v>
      </c>
      <c r="B235" s="317" t="s">
        <v>5</v>
      </c>
      <c r="C235" s="317" t="s">
        <v>345</v>
      </c>
      <c r="D235" s="317" t="s">
        <v>662</v>
      </c>
      <c r="E235" s="317" t="s">
        <v>1173</v>
      </c>
      <c r="F235" s="312">
        <v>30500</v>
      </c>
      <c r="G235" s="312">
        <v>30500</v>
      </c>
      <c r="H235" s="123" t="str">
        <f t="shared" si="3"/>
        <v>03100420080030</v>
      </c>
    </row>
    <row r="236" spans="1:8" ht="38.25">
      <c r="A236" s="316" t="s">
        <v>1319</v>
      </c>
      <c r="B236" s="317" t="s">
        <v>5</v>
      </c>
      <c r="C236" s="317" t="s">
        <v>345</v>
      </c>
      <c r="D236" s="317" t="s">
        <v>662</v>
      </c>
      <c r="E236" s="317" t="s">
        <v>1320</v>
      </c>
      <c r="F236" s="312">
        <v>30500</v>
      </c>
      <c r="G236" s="312">
        <v>30500</v>
      </c>
      <c r="H236" s="123" t="str">
        <f t="shared" si="3"/>
        <v>03100420080030200</v>
      </c>
    </row>
    <row r="237" spans="1:8" ht="38.25">
      <c r="A237" s="316" t="s">
        <v>1196</v>
      </c>
      <c r="B237" s="317" t="s">
        <v>5</v>
      </c>
      <c r="C237" s="317" t="s">
        <v>345</v>
      </c>
      <c r="D237" s="317" t="s">
        <v>662</v>
      </c>
      <c r="E237" s="317" t="s">
        <v>1197</v>
      </c>
      <c r="F237" s="312">
        <v>30500</v>
      </c>
      <c r="G237" s="312">
        <v>30500</v>
      </c>
      <c r="H237" s="123" t="str">
        <f t="shared" si="3"/>
        <v>03100420080030240</v>
      </c>
    </row>
    <row r="238" spans="1:8">
      <c r="A238" s="316" t="s">
        <v>1223</v>
      </c>
      <c r="B238" s="317" t="s">
        <v>5</v>
      </c>
      <c r="C238" s="317" t="s">
        <v>345</v>
      </c>
      <c r="D238" s="317" t="s">
        <v>662</v>
      </c>
      <c r="E238" s="317" t="s">
        <v>329</v>
      </c>
      <c r="F238" s="312">
        <v>30500</v>
      </c>
      <c r="G238" s="312">
        <v>30500</v>
      </c>
      <c r="H238" s="123" t="str">
        <f t="shared" si="3"/>
        <v>03100420080030244</v>
      </c>
    </row>
    <row r="239" spans="1:8" ht="140.25">
      <c r="A239" s="316" t="s">
        <v>1945</v>
      </c>
      <c r="B239" s="317" t="s">
        <v>5</v>
      </c>
      <c r="C239" s="317" t="s">
        <v>345</v>
      </c>
      <c r="D239" s="317" t="s">
        <v>1946</v>
      </c>
      <c r="E239" s="317" t="s">
        <v>1173</v>
      </c>
      <c r="F239" s="312">
        <v>24000</v>
      </c>
      <c r="G239" s="312">
        <v>24000</v>
      </c>
      <c r="H239" s="123" t="str">
        <f t="shared" si="3"/>
        <v>0310042008Ф030</v>
      </c>
    </row>
    <row r="240" spans="1:8" ht="38.25">
      <c r="A240" s="316" t="s">
        <v>1319</v>
      </c>
      <c r="B240" s="317" t="s">
        <v>5</v>
      </c>
      <c r="C240" s="317" t="s">
        <v>345</v>
      </c>
      <c r="D240" s="317" t="s">
        <v>1946</v>
      </c>
      <c r="E240" s="317" t="s">
        <v>1320</v>
      </c>
      <c r="F240" s="312">
        <v>24000</v>
      </c>
      <c r="G240" s="312">
        <v>24000</v>
      </c>
      <c r="H240" s="123" t="str">
        <f t="shared" si="3"/>
        <v>0310042008Ф030200</v>
      </c>
    </row>
    <row r="241" spans="1:8" ht="38.25">
      <c r="A241" s="316" t="s">
        <v>1196</v>
      </c>
      <c r="B241" s="317" t="s">
        <v>5</v>
      </c>
      <c r="C241" s="317" t="s">
        <v>345</v>
      </c>
      <c r="D241" s="317" t="s">
        <v>1946</v>
      </c>
      <c r="E241" s="317" t="s">
        <v>1197</v>
      </c>
      <c r="F241" s="312">
        <v>24000</v>
      </c>
      <c r="G241" s="312">
        <v>24000</v>
      </c>
      <c r="H241" s="123" t="str">
        <f t="shared" si="3"/>
        <v>0310042008Ф030240</v>
      </c>
    </row>
    <row r="242" spans="1:8">
      <c r="A242" s="316" t="s">
        <v>1223</v>
      </c>
      <c r="B242" s="317" t="s">
        <v>5</v>
      </c>
      <c r="C242" s="317" t="s">
        <v>345</v>
      </c>
      <c r="D242" s="317" t="s">
        <v>1946</v>
      </c>
      <c r="E242" s="317" t="s">
        <v>329</v>
      </c>
      <c r="F242" s="312">
        <v>24000</v>
      </c>
      <c r="G242" s="312">
        <v>24000</v>
      </c>
      <c r="H242" s="123" t="str">
        <f t="shared" si="3"/>
        <v>0310042008Ф030244</v>
      </c>
    </row>
    <row r="243" spans="1:8" ht="102">
      <c r="A243" s="316" t="s">
        <v>1470</v>
      </c>
      <c r="B243" s="317" t="s">
        <v>5</v>
      </c>
      <c r="C243" s="317" t="s">
        <v>345</v>
      </c>
      <c r="D243" s="317" t="s">
        <v>1471</v>
      </c>
      <c r="E243" s="317" t="s">
        <v>1173</v>
      </c>
      <c r="F243" s="312">
        <v>8948</v>
      </c>
      <c r="G243" s="312">
        <v>8948</v>
      </c>
      <c r="H243" s="123" t="str">
        <f t="shared" si="3"/>
        <v>031004200S4121</v>
      </c>
    </row>
    <row r="244" spans="1:8" ht="38.25">
      <c r="A244" s="316" t="s">
        <v>1319</v>
      </c>
      <c r="B244" s="317" t="s">
        <v>5</v>
      </c>
      <c r="C244" s="317" t="s">
        <v>345</v>
      </c>
      <c r="D244" s="317" t="s">
        <v>1471</v>
      </c>
      <c r="E244" s="317" t="s">
        <v>1320</v>
      </c>
      <c r="F244" s="312">
        <v>8948</v>
      </c>
      <c r="G244" s="312">
        <v>8948</v>
      </c>
      <c r="H244" s="123" t="str">
        <f t="shared" ref="H244:H307" si="4">CONCATENATE(C244,,D244,E244)</f>
        <v>031004200S4121200</v>
      </c>
    </row>
    <row r="245" spans="1:8" ht="38.25">
      <c r="A245" s="316" t="s">
        <v>1196</v>
      </c>
      <c r="B245" s="317" t="s">
        <v>5</v>
      </c>
      <c r="C245" s="317" t="s">
        <v>345</v>
      </c>
      <c r="D245" s="317" t="s">
        <v>1471</v>
      </c>
      <c r="E245" s="317" t="s">
        <v>1197</v>
      </c>
      <c r="F245" s="312">
        <v>8948</v>
      </c>
      <c r="G245" s="312">
        <v>8948</v>
      </c>
      <c r="H245" s="123" t="str">
        <f t="shared" si="4"/>
        <v>031004200S4121240</v>
      </c>
    </row>
    <row r="246" spans="1:8">
      <c r="A246" s="316" t="s">
        <v>1223</v>
      </c>
      <c r="B246" s="317" t="s">
        <v>5</v>
      </c>
      <c r="C246" s="317" t="s">
        <v>345</v>
      </c>
      <c r="D246" s="317" t="s">
        <v>1471</v>
      </c>
      <c r="E246" s="317" t="s">
        <v>329</v>
      </c>
      <c r="F246" s="312">
        <v>8948</v>
      </c>
      <c r="G246" s="312">
        <v>8948</v>
      </c>
      <c r="H246" s="123" t="str">
        <f t="shared" si="4"/>
        <v>031004200S4121244</v>
      </c>
    </row>
    <row r="247" spans="1:8" ht="38.25">
      <c r="A247" s="316" t="s">
        <v>1840</v>
      </c>
      <c r="B247" s="317" t="s">
        <v>5</v>
      </c>
      <c r="C247" s="317" t="s">
        <v>1841</v>
      </c>
      <c r="D247" s="317" t="s">
        <v>1173</v>
      </c>
      <c r="E247" s="317" t="s">
        <v>1173</v>
      </c>
      <c r="F247" s="312">
        <v>1700000</v>
      </c>
      <c r="G247" s="312">
        <v>1700000</v>
      </c>
      <c r="H247" s="123" t="str">
        <f t="shared" si="4"/>
        <v>0314</v>
      </c>
    </row>
    <row r="248" spans="1:8" ht="63.75">
      <c r="A248" s="316" t="s">
        <v>1751</v>
      </c>
      <c r="B248" s="317" t="s">
        <v>5</v>
      </c>
      <c r="C248" s="317" t="s">
        <v>1841</v>
      </c>
      <c r="D248" s="317" t="s">
        <v>978</v>
      </c>
      <c r="E248" s="317" t="s">
        <v>1173</v>
      </c>
      <c r="F248" s="312">
        <v>1700000</v>
      </c>
      <c r="G248" s="312">
        <v>1700000</v>
      </c>
      <c r="H248" s="123" t="str">
        <f t="shared" si="4"/>
        <v>03140400000000</v>
      </c>
    </row>
    <row r="249" spans="1:8" ht="89.25">
      <c r="A249" s="316" t="s">
        <v>457</v>
      </c>
      <c r="B249" s="317" t="s">
        <v>5</v>
      </c>
      <c r="C249" s="317" t="s">
        <v>1841</v>
      </c>
      <c r="D249" s="317" t="s">
        <v>979</v>
      </c>
      <c r="E249" s="317" t="s">
        <v>1173</v>
      </c>
      <c r="F249" s="312">
        <v>1700000</v>
      </c>
      <c r="G249" s="312">
        <v>1700000</v>
      </c>
      <c r="H249" s="123" t="str">
        <f t="shared" si="4"/>
        <v>03140410000000</v>
      </c>
    </row>
    <row r="250" spans="1:8" ht="153">
      <c r="A250" s="316" t="s">
        <v>351</v>
      </c>
      <c r="B250" s="317" t="s">
        <v>5</v>
      </c>
      <c r="C250" s="317" t="s">
        <v>1841</v>
      </c>
      <c r="D250" s="317" t="s">
        <v>1704</v>
      </c>
      <c r="E250" s="317" t="s">
        <v>1173</v>
      </c>
      <c r="F250" s="312">
        <v>1700000</v>
      </c>
      <c r="G250" s="312">
        <v>1700000</v>
      </c>
      <c r="H250" s="123" t="str">
        <f t="shared" si="4"/>
        <v>03140410080000</v>
      </c>
    </row>
    <row r="251" spans="1:8" ht="38.25">
      <c r="A251" s="316" t="s">
        <v>1319</v>
      </c>
      <c r="B251" s="317" t="s">
        <v>5</v>
      </c>
      <c r="C251" s="317" t="s">
        <v>1841</v>
      </c>
      <c r="D251" s="317" t="s">
        <v>1704</v>
      </c>
      <c r="E251" s="317" t="s">
        <v>1320</v>
      </c>
      <c r="F251" s="312">
        <v>1700000</v>
      </c>
      <c r="G251" s="312">
        <v>1700000</v>
      </c>
      <c r="H251" s="123" t="str">
        <f t="shared" si="4"/>
        <v>03140410080000200</v>
      </c>
    </row>
    <row r="252" spans="1:8" ht="38.25">
      <c r="A252" s="316" t="s">
        <v>1196</v>
      </c>
      <c r="B252" s="317" t="s">
        <v>5</v>
      </c>
      <c r="C252" s="317" t="s">
        <v>1841</v>
      </c>
      <c r="D252" s="317" t="s">
        <v>1704</v>
      </c>
      <c r="E252" s="317" t="s">
        <v>1197</v>
      </c>
      <c r="F252" s="312">
        <v>1700000</v>
      </c>
      <c r="G252" s="312">
        <v>1700000</v>
      </c>
      <c r="H252" s="123" t="str">
        <f t="shared" si="4"/>
        <v>03140410080000240</v>
      </c>
    </row>
    <row r="253" spans="1:8">
      <c r="A253" s="316" t="s">
        <v>1223</v>
      </c>
      <c r="B253" s="317" t="s">
        <v>5</v>
      </c>
      <c r="C253" s="317" t="s">
        <v>1841</v>
      </c>
      <c r="D253" s="317" t="s">
        <v>1704</v>
      </c>
      <c r="E253" s="317" t="s">
        <v>329</v>
      </c>
      <c r="F253" s="312">
        <v>1700000</v>
      </c>
      <c r="G253" s="312">
        <v>1700000</v>
      </c>
      <c r="H253" s="123" t="str">
        <f t="shared" si="4"/>
        <v>03140410080000244</v>
      </c>
    </row>
    <row r="254" spans="1:8">
      <c r="A254" s="316" t="s">
        <v>183</v>
      </c>
      <c r="B254" s="317" t="s">
        <v>5</v>
      </c>
      <c r="C254" s="317" t="s">
        <v>1140</v>
      </c>
      <c r="D254" s="317" t="s">
        <v>1173</v>
      </c>
      <c r="E254" s="317" t="s">
        <v>1173</v>
      </c>
      <c r="F254" s="312">
        <v>60907900</v>
      </c>
      <c r="G254" s="312">
        <v>73910000</v>
      </c>
      <c r="H254" s="123" t="str">
        <f t="shared" si="4"/>
        <v>0400</v>
      </c>
    </row>
    <row r="255" spans="1:8">
      <c r="A255" s="316" t="s">
        <v>184</v>
      </c>
      <c r="B255" s="317" t="s">
        <v>5</v>
      </c>
      <c r="C255" s="317" t="s">
        <v>352</v>
      </c>
      <c r="D255" s="317" t="s">
        <v>1173</v>
      </c>
      <c r="E255" s="317" t="s">
        <v>1173</v>
      </c>
      <c r="F255" s="312">
        <v>1752200</v>
      </c>
      <c r="G255" s="312">
        <v>1752200</v>
      </c>
      <c r="H255" s="123"/>
    </row>
    <row r="256" spans="1:8" ht="38.25">
      <c r="A256" s="316" t="s">
        <v>493</v>
      </c>
      <c r="B256" s="317" t="s">
        <v>5</v>
      </c>
      <c r="C256" s="317" t="s">
        <v>352</v>
      </c>
      <c r="D256" s="317" t="s">
        <v>1002</v>
      </c>
      <c r="E256" s="317" t="s">
        <v>1173</v>
      </c>
      <c r="F256" s="312">
        <v>1752200</v>
      </c>
      <c r="G256" s="312">
        <v>1752200</v>
      </c>
      <c r="H256" s="123"/>
    </row>
    <row r="257" spans="1:8" ht="25.5">
      <c r="A257" s="316" t="s">
        <v>494</v>
      </c>
      <c r="B257" s="317" t="s">
        <v>5</v>
      </c>
      <c r="C257" s="317" t="s">
        <v>352</v>
      </c>
      <c r="D257" s="317" t="s">
        <v>1003</v>
      </c>
      <c r="E257" s="317" t="s">
        <v>1173</v>
      </c>
      <c r="F257" s="312">
        <v>10000</v>
      </c>
      <c r="G257" s="312">
        <v>10000</v>
      </c>
      <c r="H257" s="123" t="str">
        <f t="shared" si="4"/>
        <v>04051210000000</v>
      </c>
    </row>
    <row r="258" spans="1:8" ht="63.75">
      <c r="A258" s="316" t="s">
        <v>1706</v>
      </c>
      <c r="B258" s="317" t="s">
        <v>5</v>
      </c>
      <c r="C258" s="317" t="s">
        <v>352</v>
      </c>
      <c r="D258" s="317" t="s">
        <v>1707</v>
      </c>
      <c r="E258" s="317" t="s">
        <v>1173</v>
      </c>
      <c r="F258" s="312">
        <v>10000</v>
      </c>
      <c r="G258" s="312">
        <v>10000</v>
      </c>
      <c r="H258" s="123" t="str">
        <f t="shared" si="4"/>
        <v>04051210080000</v>
      </c>
    </row>
    <row r="259" spans="1:8" ht="38.25">
      <c r="A259" s="316" t="s">
        <v>1319</v>
      </c>
      <c r="B259" s="317" t="s">
        <v>5</v>
      </c>
      <c r="C259" s="317" t="s">
        <v>352</v>
      </c>
      <c r="D259" s="317" t="s">
        <v>1707</v>
      </c>
      <c r="E259" s="317" t="s">
        <v>1320</v>
      </c>
      <c r="F259" s="312">
        <v>10000</v>
      </c>
      <c r="G259" s="312">
        <v>10000</v>
      </c>
      <c r="H259" s="123" t="str">
        <f t="shared" si="4"/>
        <v>04051210080000200</v>
      </c>
    </row>
    <row r="260" spans="1:8" ht="38.25">
      <c r="A260" s="316" t="s">
        <v>1196</v>
      </c>
      <c r="B260" s="317" t="s">
        <v>5</v>
      </c>
      <c r="C260" s="317" t="s">
        <v>352</v>
      </c>
      <c r="D260" s="317" t="s">
        <v>1707</v>
      </c>
      <c r="E260" s="317" t="s">
        <v>1197</v>
      </c>
      <c r="F260" s="312">
        <v>10000</v>
      </c>
      <c r="G260" s="312">
        <v>10000</v>
      </c>
      <c r="H260" s="123" t="str">
        <f t="shared" si="4"/>
        <v>04051210080000240</v>
      </c>
    </row>
    <row r="261" spans="1:8">
      <c r="A261" s="316" t="s">
        <v>1223</v>
      </c>
      <c r="B261" s="317" t="s">
        <v>5</v>
      </c>
      <c r="C261" s="317" t="s">
        <v>352</v>
      </c>
      <c r="D261" s="317" t="s">
        <v>1707</v>
      </c>
      <c r="E261" s="317" t="s">
        <v>329</v>
      </c>
      <c r="F261" s="312">
        <v>10000</v>
      </c>
      <c r="G261" s="312">
        <v>10000</v>
      </c>
      <c r="H261" s="123" t="str">
        <f t="shared" si="4"/>
        <v>04051210080000244</v>
      </c>
    </row>
    <row r="262" spans="1:8" ht="38.25">
      <c r="A262" s="316" t="s">
        <v>447</v>
      </c>
      <c r="B262" s="317" t="s">
        <v>5</v>
      </c>
      <c r="C262" s="317" t="s">
        <v>352</v>
      </c>
      <c r="D262" s="317" t="s">
        <v>1005</v>
      </c>
      <c r="E262" s="317" t="s">
        <v>1173</v>
      </c>
      <c r="F262" s="312">
        <v>1742200</v>
      </c>
      <c r="G262" s="312">
        <v>1742200</v>
      </c>
      <c r="H262" s="123" t="str">
        <f t="shared" si="4"/>
        <v>04051230000000</v>
      </c>
    </row>
    <row r="263" spans="1:8" ht="114.75">
      <c r="A263" s="316" t="s">
        <v>355</v>
      </c>
      <c r="B263" s="317" t="s">
        <v>5</v>
      </c>
      <c r="C263" s="317" t="s">
        <v>352</v>
      </c>
      <c r="D263" s="317" t="s">
        <v>669</v>
      </c>
      <c r="E263" s="317" t="s">
        <v>1173</v>
      </c>
      <c r="F263" s="312">
        <v>1742200</v>
      </c>
      <c r="G263" s="312">
        <v>1742200</v>
      </c>
      <c r="H263" s="123" t="str">
        <f t="shared" si="4"/>
        <v>04051230075170</v>
      </c>
    </row>
    <row r="264" spans="1:8" ht="76.5">
      <c r="A264" s="316" t="s">
        <v>1318</v>
      </c>
      <c r="B264" s="317" t="s">
        <v>5</v>
      </c>
      <c r="C264" s="317" t="s">
        <v>352</v>
      </c>
      <c r="D264" s="317" t="s">
        <v>669</v>
      </c>
      <c r="E264" s="317" t="s">
        <v>273</v>
      </c>
      <c r="F264" s="312">
        <v>1688700</v>
      </c>
      <c r="G264" s="312">
        <v>1688700</v>
      </c>
      <c r="H264" s="123" t="str">
        <f t="shared" si="4"/>
        <v>04051230075170100</v>
      </c>
    </row>
    <row r="265" spans="1:8" ht="38.25">
      <c r="A265" s="316" t="s">
        <v>1203</v>
      </c>
      <c r="B265" s="317" t="s">
        <v>5</v>
      </c>
      <c r="C265" s="317" t="s">
        <v>352</v>
      </c>
      <c r="D265" s="317" t="s">
        <v>669</v>
      </c>
      <c r="E265" s="317" t="s">
        <v>28</v>
      </c>
      <c r="F265" s="312">
        <v>1688700</v>
      </c>
      <c r="G265" s="312">
        <v>1688700</v>
      </c>
      <c r="H265" s="123" t="str">
        <f t="shared" si="4"/>
        <v>04051230075170120</v>
      </c>
    </row>
    <row r="266" spans="1:8" ht="25.5">
      <c r="A266" s="316" t="s">
        <v>953</v>
      </c>
      <c r="B266" s="317" t="s">
        <v>5</v>
      </c>
      <c r="C266" s="317" t="s">
        <v>352</v>
      </c>
      <c r="D266" s="317" t="s">
        <v>669</v>
      </c>
      <c r="E266" s="317" t="s">
        <v>324</v>
      </c>
      <c r="F266" s="312">
        <v>1193785</v>
      </c>
      <c r="G266" s="312">
        <v>1193785</v>
      </c>
      <c r="H266" s="123" t="str">
        <f t="shared" si="4"/>
        <v>04051230075170121</v>
      </c>
    </row>
    <row r="267" spans="1:8" ht="51">
      <c r="A267" s="316" t="s">
        <v>325</v>
      </c>
      <c r="B267" s="317" t="s">
        <v>5</v>
      </c>
      <c r="C267" s="317" t="s">
        <v>352</v>
      </c>
      <c r="D267" s="317" t="s">
        <v>669</v>
      </c>
      <c r="E267" s="317" t="s">
        <v>326</v>
      </c>
      <c r="F267" s="312">
        <v>134400</v>
      </c>
      <c r="G267" s="312">
        <v>134400</v>
      </c>
      <c r="H267" s="123" t="str">
        <f t="shared" si="4"/>
        <v>04051230075170122</v>
      </c>
    </row>
    <row r="268" spans="1:8" ht="63.75">
      <c r="A268" s="316" t="s">
        <v>1054</v>
      </c>
      <c r="B268" s="317" t="s">
        <v>5</v>
      </c>
      <c r="C268" s="317" t="s">
        <v>352</v>
      </c>
      <c r="D268" s="317" t="s">
        <v>669</v>
      </c>
      <c r="E268" s="317" t="s">
        <v>1055</v>
      </c>
      <c r="F268" s="312">
        <v>360515</v>
      </c>
      <c r="G268" s="312">
        <v>360515</v>
      </c>
      <c r="H268" s="123" t="str">
        <f t="shared" si="4"/>
        <v>04051230075170129</v>
      </c>
    </row>
    <row r="269" spans="1:8" ht="38.25">
      <c r="A269" s="316" t="s">
        <v>1319</v>
      </c>
      <c r="B269" s="317" t="s">
        <v>5</v>
      </c>
      <c r="C269" s="317" t="s">
        <v>352</v>
      </c>
      <c r="D269" s="317" t="s">
        <v>669</v>
      </c>
      <c r="E269" s="317" t="s">
        <v>1320</v>
      </c>
      <c r="F269" s="312">
        <v>53500</v>
      </c>
      <c r="G269" s="312">
        <v>53500</v>
      </c>
      <c r="H269" s="123" t="str">
        <f t="shared" si="4"/>
        <v>04051230075170200</v>
      </c>
    </row>
    <row r="270" spans="1:8" ht="38.25">
      <c r="A270" s="316" t="s">
        <v>1196</v>
      </c>
      <c r="B270" s="317" t="s">
        <v>5</v>
      </c>
      <c r="C270" s="317" t="s">
        <v>352</v>
      </c>
      <c r="D270" s="317" t="s">
        <v>669</v>
      </c>
      <c r="E270" s="317" t="s">
        <v>1197</v>
      </c>
      <c r="F270" s="312">
        <v>53500</v>
      </c>
      <c r="G270" s="312">
        <v>53500</v>
      </c>
      <c r="H270" s="123" t="str">
        <f t="shared" si="4"/>
        <v>04051230075170240</v>
      </c>
    </row>
    <row r="271" spans="1:8">
      <c r="A271" s="316" t="s">
        <v>1223</v>
      </c>
      <c r="B271" s="317" t="s">
        <v>5</v>
      </c>
      <c r="C271" s="317" t="s">
        <v>352</v>
      </c>
      <c r="D271" s="317" t="s">
        <v>669</v>
      </c>
      <c r="E271" s="317" t="s">
        <v>329</v>
      </c>
      <c r="F271" s="312">
        <v>53500</v>
      </c>
      <c r="G271" s="312">
        <v>53500</v>
      </c>
      <c r="H271" s="123" t="str">
        <f t="shared" si="4"/>
        <v>04051230075170244</v>
      </c>
    </row>
    <row r="272" spans="1:8">
      <c r="A272" s="316" t="s">
        <v>1661</v>
      </c>
      <c r="B272" s="317" t="s">
        <v>5</v>
      </c>
      <c r="C272" s="317" t="s">
        <v>1662</v>
      </c>
      <c r="D272" s="317" t="s">
        <v>1173</v>
      </c>
      <c r="E272" s="317" t="s">
        <v>1173</v>
      </c>
      <c r="F272" s="312">
        <v>1887000</v>
      </c>
      <c r="G272" s="312">
        <v>1887000</v>
      </c>
      <c r="H272" s="123" t="str">
        <f t="shared" si="4"/>
        <v>0407</v>
      </c>
    </row>
    <row r="273" spans="1:8" ht="38.25">
      <c r="A273" s="316" t="s">
        <v>599</v>
      </c>
      <c r="B273" s="317" t="s">
        <v>5</v>
      </c>
      <c r="C273" s="317" t="s">
        <v>1662</v>
      </c>
      <c r="D273" s="317" t="s">
        <v>1006</v>
      </c>
      <c r="E273" s="317" t="s">
        <v>1173</v>
      </c>
      <c r="F273" s="312">
        <v>1887000</v>
      </c>
      <c r="G273" s="312">
        <v>1887000</v>
      </c>
      <c r="H273" s="123" t="str">
        <f t="shared" si="4"/>
        <v>04078000000000</v>
      </c>
    </row>
    <row r="274" spans="1:8" ht="51">
      <c r="A274" s="316" t="s">
        <v>600</v>
      </c>
      <c r="B274" s="317" t="s">
        <v>5</v>
      </c>
      <c r="C274" s="317" t="s">
        <v>1662</v>
      </c>
      <c r="D274" s="317" t="s">
        <v>1008</v>
      </c>
      <c r="E274" s="317" t="s">
        <v>1173</v>
      </c>
      <c r="F274" s="312">
        <v>1887000</v>
      </c>
      <c r="G274" s="312">
        <v>1887000</v>
      </c>
      <c r="H274" s="123" t="str">
        <f t="shared" si="4"/>
        <v>04078020000000</v>
      </c>
    </row>
    <row r="275" spans="1:8" ht="76.5">
      <c r="A275" s="316" t="s">
        <v>1663</v>
      </c>
      <c r="B275" s="317" t="s">
        <v>5</v>
      </c>
      <c r="C275" s="317" t="s">
        <v>1662</v>
      </c>
      <c r="D275" s="317" t="s">
        <v>1664</v>
      </c>
      <c r="E275" s="317" t="s">
        <v>1173</v>
      </c>
      <c r="F275" s="312">
        <v>1887000</v>
      </c>
      <c r="G275" s="312">
        <v>1887000</v>
      </c>
      <c r="H275" s="123" t="str">
        <f t="shared" si="4"/>
        <v>04078020074460</v>
      </c>
    </row>
    <row r="276" spans="1:8" ht="76.5">
      <c r="A276" s="316" t="s">
        <v>1318</v>
      </c>
      <c r="B276" s="317" t="s">
        <v>5</v>
      </c>
      <c r="C276" s="317" t="s">
        <v>1662</v>
      </c>
      <c r="D276" s="317" t="s">
        <v>1664</v>
      </c>
      <c r="E276" s="317" t="s">
        <v>273</v>
      </c>
      <c r="F276" s="312">
        <v>1847000</v>
      </c>
      <c r="G276" s="312">
        <v>1847000</v>
      </c>
      <c r="H276" s="123" t="str">
        <f t="shared" si="4"/>
        <v>04078020074460100</v>
      </c>
    </row>
    <row r="277" spans="1:8" ht="38.25">
      <c r="A277" s="316" t="s">
        <v>1203</v>
      </c>
      <c r="B277" s="317" t="s">
        <v>5</v>
      </c>
      <c r="C277" s="317" t="s">
        <v>1662</v>
      </c>
      <c r="D277" s="317" t="s">
        <v>1664</v>
      </c>
      <c r="E277" s="317" t="s">
        <v>28</v>
      </c>
      <c r="F277" s="312">
        <v>1847000</v>
      </c>
      <c r="G277" s="312">
        <v>1847000</v>
      </c>
      <c r="H277" s="123" t="str">
        <f t="shared" si="4"/>
        <v>04078020074460120</v>
      </c>
    </row>
    <row r="278" spans="1:8" ht="25.5">
      <c r="A278" s="316" t="s">
        <v>953</v>
      </c>
      <c r="B278" s="317" t="s">
        <v>5</v>
      </c>
      <c r="C278" s="317" t="s">
        <v>1662</v>
      </c>
      <c r="D278" s="317" t="s">
        <v>1664</v>
      </c>
      <c r="E278" s="317" t="s">
        <v>324</v>
      </c>
      <c r="F278" s="312">
        <v>1286447</v>
      </c>
      <c r="G278" s="312">
        <v>1286447</v>
      </c>
      <c r="H278" s="123" t="str">
        <f t="shared" si="4"/>
        <v>04078020074460121</v>
      </c>
    </row>
    <row r="279" spans="1:8" ht="51">
      <c r="A279" s="316" t="s">
        <v>325</v>
      </c>
      <c r="B279" s="317" t="s">
        <v>5</v>
      </c>
      <c r="C279" s="317" t="s">
        <v>1662</v>
      </c>
      <c r="D279" s="317" t="s">
        <v>1664</v>
      </c>
      <c r="E279" s="317" t="s">
        <v>326</v>
      </c>
      <c r="F279" s="312">
        <v>172000</v>
      </c>
      <c r="G279" s="312">
        <v>172000</v>
      </c>
      <c r="H279" s="123" t="str">
        <f t="shared" si="4"/>
        <v>04078020074460122</v>
      </c>
    </row>
    <row r="280" spans="1:8" ht="63.75">
      <c r="A280" s="316" t="s">
        <v>1054</v>
      </c>
      <c r="B280" s="317" t="s">
        <v>5</v>
      </c>
      <c r="C280" s="317" t="s">
        <v>1662</v>
      </c>
      <c r="D280" s="317" t="s">
        <v>1664</v>
      </c>
      <c r="E280" s="317" t="s">
        <v>1055</v>
      </c>
      <c r="F280" s="312">
        <v>388553</v>
      </c>
      <c r="G280" s="312">
        <v>388553</v>
      </c>
      <c r="H280" s="123" t="str">
        <f t="shared" si="4"/>
        <v>04078020074460129</v>
      </c>
    </row>
    <row r="281" spans="1:8" ht="38.25">
      <c r="A281" s="316" t="s">
        <v>1319</v>
      </c>
      <c r="B281" s="317" t="s">
        <v>5</v>
      </c>
      <c r="C281" s="317" t="s">
        <v>1662</v>
      </c>
      <c r="D281" s="317" t="s">
        <v>1664</v>
      </c>
      <c r="E281" s="317" t="s">
        <v>1320</v>
      </c>
      <c r="F281" s="312">
        <v>40000</v>
      </c>
      <c r="G281" s="312">
        <v>40000</v>
      </c>
      <c r="H281" s="123" t="str">
        <f t="shared" si="4"/>
        <v>04078020074460200</v>
      </c>
    </row>
    <row r="282" spans="1:8" ht="38.25">
      <c r="A282" s="316" t="s">
        <v>1196</v>
      </c>
      <c r="B282" s="317" t="s">
        <v>5</v>
      </c>
      <c r="C282" s="317" t="s">
        <v>1662</v>
      </c>
      <c r="D282" s="317" t="s">
        <v>1664</v>
      </c>
      <c r="E282" s="317" t="s">
        <v>1197</v>
      </c>
      <c r="F282" s="312">
        <v>40000</v>
      </c>
      <c r="G282" s="312">
        <v>40000</v>
      </c>
      <c r="H282" s="123" t="str">
        <f t="shared" si="4"/>
        <v>04078020074460240</v>
      </c>
    </row>
    <row r="283" spans="1:8">
      <c r="A283" s="316" t="s">
        <v>1223</v>
      </c>
      <c r="B283" s="317" t="s">
        <v>5</v>
      </c>
      <c r="C283" s="317" t="s">
        <v>1662</v>
      </c>
      <c r="D283" s="317" t="s">
        <v>1664</v>
      </c>
      <c r="E283" s="317" t="s">
        <v>329</v>
      </c>
      <c r="F283" s="312">
        <v>40000</v>
      </c>
      <c r="G283" s="312">
        <v>40000</v>
      </c>
      <c r="H283" s="123" t="str">
        <f t="shared" si="4"/>
        <v>04078020074460244</v>
      </c>
    </row>
    <row r="284" spans="1:8">
      <c r="A284" s="316" t="s">
        <v>185</v>
      </c>
      <c r="B284" s="317" t="s">
        <v>5</v>
      </c>
      <c r="C284" s="317" t="s">
        <v>356</v>
      </c>
      <c r="D284" s="317" t="s">
        <v>1173</v>
      </c>
      <c r="E284" s="317" t="s">
        <v>1173</v>
      </c>
      <c r="F284" s="312">
        <v>54406400</v>
      </c>
      <c r="G284" s="312">
        <v>67406400</v>
      </c>
      <c r="H284" s="123" t="str">
        <f t="shared" si="4"/>
        <v>0408</v>
      </c>
    </row>
    <row r="285" spans="1:8" ht="38.25">
      <c r="A285" s="316" t="s">
        <v>483</v>
      </c>
      <c r="B285" s="317" t="s">
        <v>5</v>
      </c>
      <c r="C285" s="317" t="s">
        <v>356</v>
      </c>
      <c r="D285" s="317" t="s">
        <v>993</v>
      </c>
      <c r="E285" s="317" t="s">
        <v>1173</v>
      </c>
      <c r="F285" s="312">
        <v>54406400</v>
      </c>
      <c r="G285" s="312">
        <v>67406400</v>
      </c>
      <c r="H285" s="123" t="str">
        <f t="shared" si="4"/>
        <v>04080900000000</v>
      </c>
    </row>
    <row r="286" spans="1:8" ht="25.5">
      <c r="A286" s="316" t="s">
        <v>486</v>
      </c>
      <c r="B286" s="317" t="s">
        <v>5</v>
      </c>
      <c r="C286" s="317" t="s">
        <v>356</v>
      </c>
      <c r="D286" s="317" t="s">
        <v>995</v>
      </c>
      <c r="E286" s="317" t="s">
        <v>1173</v>
      </c>
      <c r="F286" s="312">
        <v>54406400</v>
      </c>
      <c r="G286" s="312">
        <v>67406400</v>
      </c>
      <c r="H286" s="123" t="str">
        <f t="shared" si="4"/>
        <v>04080920000000</v>
      </c>
    </row>
    <row r="287" spans="1:8" ht="89.25">
      <c r="A287" s="316" t="s">
        <v>825</v>
      </c>
      <c r="B287" s="317" t="s">
        <v>5</v>
      </c>
      <c r="C287" s="317" t="s">
        <v>356</v>
      </c>
      <c r="D287" s="317" t="s">
        <v>951</v>
      </c>
      <c r="E287" s="317" t="s">
        <v>1173</v>
      </c>
      <c r="F287" s="312">
        <v>406400</v>
      </c>
      <c r="G287" s="312">
        <v>406400</v>
      </c>
      <c r="H287" s="123" t="str">
        <f t="shared" si="4"/>
        <v>040809200Л0000</v>
      </c>
    </row>
    <row r="288" spans="1:8">
      <c r="A288" s="316" t="s">
        <v>1321</v>
      </c>
      <c r="B288" s="317" t="s">
        <v>5</v>
      </c>
      <c r="C288" s="317" t="s">
        <v>356</v>
      </c>
      <c r="D288" s="317" t="s">
        <v>951</v>
      </c>
      <c r="E288" s="317" t="s">
        <v>1322</v>
      </c>
      <c r="F288" s="312">
        <v>406400</v>
      </c>
      <c r="G288" s="312">
        <v>406400</v>
      </c>
      <c r="H288" s="123" t="str">
        <f t="shared" si="4"/>
        <v>040809200Л0000800</v>
      </c>
    </row>
    <row r="289" spans="1:8" ht="63.75">
      <c r="A289" s="316" t="s">
        <v>1206</v>
      </c>
      <c r="B289" s="317" t="s">
        <v>5</v>
      </c>
      <c r="C289" s="317" t="s">
        <v>356</v>
      </c>
      <c r="D289" s="317" t="s">
        <v>951</v>
      </c>
      <c r="E289" s="317" t="s">
        <v>354</v>
      </c>
      <c r="F289" s="312">
        <v>406400</v>
      </c>
      <c r="G289" s="312">
        <v>406400</v>
      </c>
      <c r="H289" s="123" t="str">
        <f t="shared" si="4"/>
        <v>040809200Л0000810</v>
      </c>
    </row>
    <row r="290" spans="1:8" ht="76.5">
      <c r="A290" s="316" t="s">
        <v>1225</v>
      </c>
      <c r="B290" s="317" t="s">
        <v>5</v>
      </c>
      <c r="C290" s="317" t="s">
        <v>356</v>
      </c>
      <c r="D290" s="317" t="s">
        <v>951</v>
      </c>
      <c r="E290" s="317" t="s">
        <v>1226</v>
      </c>
      <c r="F290" s="312">
        <v>406400</v>
      </c>
      <c r="G290" s="312">
        <v>406400</v>
      </c>
      <c r="H290" s="123" t="str">
        <f t="shared" si="4"/>
        <v>040809200Л0000811</v>
      </c>
    </row>
    <row r="291" spans="1:8" ht="89.25">
      <c r="A291" s="316" t="s">
        <v>357</v>
      </c>
      <c r="B291" s="317" t="s">
        <v>5</v>
      </c>
      <c r="C291" s="317" t="s">
        <v>356</v>
      </c>
      <c r="D291" s="317" t="s">
        <v>670</v>
      </c>
      <c r="E291" s="317" t="s">
        <v>1173</v>
      </c>
      <c r="F291" s="312">
        <v>54000000</v>
      </c>
      <c r="G291" s="312">
        <v>67000000</v>
      </c>
      <c r="H291" s="123" t="str">
        <f t="shared" si="4"/>
        <v>040809200П0000</v>
      </c>
    </row>
    <row r="292" spans="1:8">
      <c r="A292" s="316" t="s">
        <v>1321</v>
      </c>
      <c r="B292" s="317" t="s">
        <v>5</v>
      </c>
      <c r="C292" s="317" t="s">
        <v>356</v>
      </c>
      <c r="D292" s="317" t="s">
        <v>670</v>
      </c>
      <c r="E292" s="317" t="s">
        <v>1322</v>
      </c>
      <c r="F292" s="312">
        <v>54000000</v>
      </c>
      <c r="G292" s="312">
        <v>67000000</v>
      </c>
      <c r="H292" s="123" t="str">
        <f t="shared" si="4"/>
        <v>040809200П0000800</v>
      </c>
    </row>
    <row r="293" spans="1:8" ht="63.75">
      <c r="A293" s="316" t="s">
        <v>1206</v>
      </c>
      <c r="B293" s="317" t="s">
        <v>5</v>
      </c>
      <c r="C293" s="317" t="s">
        <v>356</v>
      </c>
      <c r="D293" s="317" t="s">
        <v>670</v>
      </c>
      <c r="E293" s="317" t="s">
        <v>354</v>
      </c>
      <c r="F293" s="312">
        <v>54000000</v>
      </c>
      <c r="G293" s="312">
        <v>67000000</v>
      </c>
      <c r="H293" s="123" t="str">
        <f t="shared" si="4"/>
        <v>040809200П0000810</v>
      </c>
    </row>
    <row r="294" spans="1:8" ht="76.5">
      <c r="A294" s="316" t="s">
        <v>1225</v>
      </c>
      <c r="B294" s="317" t="s">
        <v>5</v>
      </c>
      <c r="C294" s="317" t="s">
        <v>356</v>
      </c>
      <c r="D294" s="317" t="s">
        <v>670</v>
      </c>
      <c r="E294" s="317" t="s">
        <v>1226</v>
      </c>
      <c r="F294" s="312">
        <v>54000000</v>
      </c>
      <c r="G294" s="312">
        <v>67000000</v>
      </c>
      <c r="H294" s="123" t="str">
        <f t="shared" si="4"/>
        <v>040809200П0000811</v>
      </c>
    </row>
    <row r="295" spans="1:8">
      <c r="A295" s="316" t="s">
        <v>252</v>
      </c>
      <c r="B295" s="317" t="s">
        <v>5</v>
      </c>
      <c r="C295" s="317" t="s">
        <v>358</v>
      </c>
      <c r="D295" s="317" t="s">
        <v>1173</v>
      </c>
      <c r="E295" s="317" t="s">
        <v>1173</v>
      </c>
      <c r="F295" s="312">
        <v>179300</v>
      </c>
      <c r="G295" s="312">
        <v>181400</v>
      </c>
      <c r="H295" s="123" t="str">
        <f t="shared" si="4"/>
        <v>0409</v>
      </c>
    </row>
    <row r="296" spans="1:8" ht="38.25">
      <c r="A296" s="316" t="s">
        <v>483</v>
      </c>
      <c r="B296" s="317" t="s">
        <v>5</v>
      </c>
      <c r="C296" s="317" t="s">
        <v>358</v>
      </c>
      <c r="D296" s="317" t="s">
        <v>993</v>
      </c>
      <c r="E296" s="317" t="s">
        <v>1173</v>
      </c>
      <c r="F296" s="312">
        <v>179300</v>
      </c>
      <c r="G296" s="312">
        <v>181400</v>
      </c>
      <c r="H296" s="123" t="str">
        <f t="shared" si="4"/>
        <v>04090900000000</v>
      </c>
    </row>
    <row r="297" spans="1:8" ht="25.5">
      <c r="A297" s="316" t="s">
        <v>484</v>
      </c>
      <c r="B297" s="317" t="s">
        <v>5</v>
      </c>
      <c r="C297" s="317" t="s">
        <v>358</v>
      </c>
      <c r="D297" s="317" t="s">
        <v>994</v>
      </c>
      <c r="E297" s="317" t="s">
        <v>1173</v>
      </c>
      <c r="F297" s="312">
        <v>179300</v>
      </c>
      <c r="G297" s="312">
        <v>181400</v>
      </c>
      <c r="H297" s="123" t="str">
        <f t="shared" si="4"/>
        <v>04090910000000</v>
      </c>
    </row>
    <row r="298" spans="1:8" ht="63.75">
      <c r="A298" s="316" t="s">
        <v>359</v>
      </c>
      <c r="B298" s="317" t="s">
        <v>5</v>
      </c>
      <c r="C298" s="317" t="s">
        <v>358</v>
      </c>
      <c r="D298" s="317" t="s">
        <v>671</v>
      </c>
      <c r="E298" s="317" t="s">
        <v>1173</v>
      </c>
      <c r="F298" s="312">
        <v>153050</v>
      </c>
      <c r="G298" s="312">
        <v>155150</v>
      </c>
      <c r="H298" s="123" t="str">
        <f t="shared" si="4"/>
        <v>04090910080000</v>
      </c>
    </row>
    <row r="299" spans="1:8" ht="38.25">
      <c r="A299" s="316" t="s">
        <v>1319</v>
      </c>
      <c r="B299" s="317" t="s">
        <v>5</v>
      </c>
      <c r="C299" s="317" t="s">
        <v>358</v>
      </c>
      <c r="D299" s="317" t="s">
        <v>671</v>
      </c>
      <c r="E299" s="317" t="s">
        <v>1320</v>
      </c>
      <c r="F299" s="312">
        <v>153050</v>
      </c>
      <c r="G299" s="312">
        <v>155150</v>
      </c>
      <c r="H299" s="123" t="str">
        <f t="shared" si="4"/>
        <v>04090910080000200</v>
      </c>
    </row>
    <row r="300" spans="1:8" ht="38.25">
      <c r="A300" s="316" t="s">
        <v>1196</v>
      </c>
      <c r="B300" s="317" t="s">
        <v>5</v>
      </c>
      <c r="C300" s="317" t="s">
        <v>358</v>
      </c>
      <c r="D300" s="317" t="s">
        <v>671</v>
      </c>
      <c r="E300" s="317" t="s">
        <v>1197</v>
      </c>
      <c r="F300" s="312">
        <v>153050</v>
      </c>
      <c r="G300" s="312">
        <v>155150</v>
      </c>
      <c r="H300" s="123" t="str">
        <f t="shared" si="4"/>
        <v>04090910080000240</v>
      </c>
    </row>
    <row r="301" spans="1:8">
      <c r="A301" s="316" t="s">
        <v>1223</v>
      </c>
      <c r="B301" s="317" t="s">
        <v>5</v>
      </c>
      <c r="C301" s="317" t="s">
        <v>358</v>
      </c>
      <c r="D301" s="317" t="s">
        <v>671</v>
      </c>
      <c r="E301" s="317" t="s">
        <v>329</v>
      </c>
      <c r="F301" s="312">
        <v>153050</v>
      </c>
      <c r="G301" s="312">
        <v>155150</v>
      </c>
      <c r="H301" s="123" t="str">
        <f t="shared" si="4"/>
        <v>04090910080000244</v>
      </c>
    </row>
    <row r="302" spans="1:8" ht="89.25">
      <c r="A302" s="316" t="s">
        <v>1844</v>
      </c>
      <c r="B302" s="317" t="s">
        <v>5</v>
      </c>
      <c r="C302" s="317" t="s">
        <v>358</v>
      </c>
      <c r="D302" s="317" t="s">
        <v>1376</v>
      </c>
      <c r="E302" s="317" t="s">
        <v>1173</v>
      </c>
      <c r="F302" s="312">
        <v>26250</v>
      </c>
      <c r="G302" s="312">
        <v>26250</v>
      </c>
      <c r="H302" s="123" t="str">
        <f t="shared" si="4"/>
        <v>040909100S5090</v>
      </c>
    </row>
    <row r="303" spans="1:8" ht="38.25">
      <c r="A303" s="316" t="s">
        <v>1319</v>
      </c>
      <c r="B303" s="317" t="s">
        <v>5</v>
      </c>
      <c r="C303" s="317" t="s">
        <v>358</v>
      </c>
      <c r="D303" s="317" t="s">
        <v>1376</v>
      </c>
      <c r="E303" s="317" t="s">
        <v>1320</v>
      </c>
      <c r="F303" s="312">
        <v>26250</v>
      </c>
      <c r="G303" s="312">
        <v>26250</v>
      </c>
      <c r="H303" s="123" t="str">
        <f t="shared" si="4"/>
        <v>040909100S5090200</v>
      </c>
    </row>
    <row r="304" spans="1:8" ht="38.25">
      <c r="A304" s="316" t="s">
        <v>1196</v>
      </c>
      <c r="B304" s="317" t="s">
        <v>5</v>
      </c>
      <c r="C304" s="317" t="s">
        <v>358</v>
      </c>
      <c r="D304" s="317" t="s">
        <v>1376</v>
      </c>
      <c r="E304" s="317" t="s">
        <v>1197</v>
      </c>
      <c r="F304" s="312">
        <v>26250</v>
      </c>
      <c r="G304" s="312">
        <v>26250</v>
      </c>
      <c r="H304" s="123" t="str">
        <f t="shared" si="4"/>
        <v>040909100S5090240</v>
      </c>
    </row>
    <row r="305" spans="1:8">
      <c r="A305" s="316" t="s">
        <v>1223</v>
      </c>
      <c r="B305" s="317" t="s">
        <v>5</v>
      </c>
      <c r="C305" s="317" t="s">
        <v>358</v>
      </c>
      <c r="D305" s="317" t="s">
        <v>1376</v>
      </c>
      <c r="E305" s="317" t="s">
        <v>329</v>
      </c>
      <c r="F305" s="312">
        <v>26250</v>
      </c>
      <c r="G305" s="312">
        <v>26250</v>
      </c>
      <c r="H305" s="123" t="str">
        <f t="shared" si="4"/>
        <v>040909100S5090244</v>
      </c>
    </row>
    <row r="306" spans="1:8" ht="25.5">
      <c r="A306" s="316" t="s">
        <v>145</v>
      </c>
      <c r="B306" s="317" t="s">
        <v>5</v>
      </c>
      <c r="C306" s="317" t="s">
        <v>360</v>
      </c>
      <c r="D306" s="317" t="s">
        <v>1173</v>
      </c>
      <c r="E306" s="317" t="s">
        <v>1173</v>
      </c>
      <c r="F306" s="312">
        <v>2683000</v>
      </c>
      <c r="G306" s="312">
        <v>2683000</v>
      </c>
      <c r="H306" s="123" t="str">
        <f t="shared" si="4"/>
        <v>0412</v>
      </c>
    </row>
    <row r="307" spans="1:8" ht="51">
      <c r="A307" s="316" t="s">
        <v>1239</v>
      </c>
      <c r="B307" s="317" t="s">
        <v>5</v>
      </c>
      <c r="C307" s="317" t="s">
        <v>360</v>
      </c>
      <c r="D307" s="317" t="s">
        <v>991</v>
      </c>
      <c r="E307" s="317" t="s">
        <v>1173</v>
      </c>
      <c r="F307" s="312">
        <v>2590000</v>
      </c>
      <c r="G307" s="312">
        <v>2590000</v>
      </c>
      <c r="H307" s="123" t="str">
        <f t="shared" si="4"/>
        <v>04120800000000</v>
      </c>
    </row>
    <row r="308" spans="1:8" ht="38.25">
      <c r="A308" s="316" t="s">
        <v>480</v>
      </c>
      <c r="B308" s="317" t="s">
        <v>5</v>
      </c>
      <c r="C308" s="317" t="s">
        <v>360</v>
      </c>
      <c r="D308" s="317" t="s">
        <v>992</v>
      </c>
      <c r="E308" s="317" t="s">
        <v>1173</v>
      </c>
      <c r="F308" s="312">
        <v>2587000</v>
      </c>
      <c r="G308" s="312">
        <v>2587000</v>
      </c>
      <c r="H308" s="123" t="str">
        <f t="shared" ref="H308:H368" si="5">CONCATENATE(C308,,D308,E308)</f>
        <v>04120810000000</v>
      </c>
    </row>
    <row r="309" spans="1:8" ht="127.5">
      <c r="A309" s="316" t="s">
        <v>1309</v>
      </c>
      <c r="B309" s="317" t="s">
        <v>5</v>
      </c>
      <c r="C309" s="317" t="s">
        <v>360</v>
      </c>
      <c r="D309" s="317" t="s">
        <v>672</v>
      </c>
      <c r="E309" s="317" t="s">
        <v>1173</v>
      </c>
      <c r="F309" s="312">
        <v>10000</v>
      </c>
      <c r="G309" s="312">
        <v>10000</v>
      </c>
      <c r="H309" s="123" t="str">
        <f t="shared" si="5"/>
        <v>04120810080020</v>
      </c>
    </row>
    <row r="310" spans="1:8" ht="38.25">
      <c r="A310" s="316" t="s">
        <v>1319</v>
      </c>
      <c r="B310" s="317" t="s">
        <v>5</v>
      </c>
      <c r="C310" s="317" t="s">
        <v>360</v>
      </c>
      <c r="D310" s="317" t="s">
        <v>672</v>
      </c>
      <c r="E310" s="317" t="s">
        <v>1320</v>
      </c>
      <c r="F310" s="312">
        <v>10000</v>
      </c>
      <c r="G310" s="312">
        <v>10000</v>
      </c>
      <c r="H310" s="123" t="str">
        <f t="shared" si="5"/>
        <v>04120810080020200</v>
      </c>
    </row>
    <row r="311" spans="1:8" ht="38.25">
      <c r="A311" s="316" t="s">
        <v>1196</v>
      </c>
      <c r="B311" s="317" t="s">
        <v>5</v>
      </c>
      <c r="C311" s="317" t="s">
        <v>360</v>
      </c>
      <c r="D311" s="317" t="s">
        <v>672</v>
      </c>
      <c r="E311" s="317" t="s">
        <v>1197</v>
      </c>
      <c r="F311" s="312">
        <v>10000</v>
      </c>
      <c r="G311" s="312">
        <v>10000</v>
      </c>
      <c r="H311" s="123" t="str">
        <f t="shared" si="5"/>
        <v>04120810080020240</v>
      </c>
    </row>
    <row r="312" spans="1:8">
      <c r="A312" s="316" t="s">
        <v>1223</v>
      </c>
      <c r="B312" s="317" t="s">
        <v>5</v>
      </c>
      <c r="C312" s="317" t="s">
        <v>360</v>
      </c>
      <c r="D312" s="317" t="s">
        <v>672</v>
      </c>
      <c r="E312" s="317" t="s">
        <v>329</v>
      </c>
      <c r="F312" s="312">
        <v>10000</v>
      </c>
      <c r="G312" s="312">
        <v>10000</v>
      </c>
      <c r="H312" s="123" t="str">
        <f t="shared" si="5"/>
        <v>04120810080020244</v>
      </c>
    </row>
    <row r="313" spans="1:8" ht="140.25">
      <c r="A313" s="316" t="s">
        <v>1513</v>
      </c>
      <c r="B313" s="317" t="s">
        <v>5</v>
      </c>
      <c r="C313" s="317" t="s">
        <v>360</v>
      </c>
      <c r="D313" s="317" t="s">
        <v>1344</v>
      </c>
      <c r="E313" s="317" t="s">
        <v>1173</v>
      </c>
      <c r="F313" s="312">
        <v>2577000</v>
      </c>
      <c r="G313" s="312">
        <v>2577000</v>
      </c>
      <c r="H313" s="123" t="str">
        <f t="shared" si="5"/>
        <v>041208100S6070</v>
      </c>
    </row>
    <row r="314" spans="1:8">
      <c r="A314" s="316" t="s">
        <v>1321</v>
      </c>
      <c r="B314" s="317" t="s">
        <v>5</v>
      </c>
      <c r="C314" s="317" t="s">
        <v>360</v>
      </c>
      <c r="D314" s="317" t="s">
        <v>1344</v>
      </c>
      <c r="E314" s="317" t="s">
        <v>1322</v>
      </c>
      <c r="F314" s="312">
        <v>2577000</v>
      </c>
      <c r="G314" s="312">
        <v>2577000</v>
      </c>
      <c r="H314" s="123" t="str">
        <f t="shared" si="5"/>
        <v>041208100S6070800</v>
      </c>
    </row>
    <row r="315" spans="1:8" ht="63.75">
      <c r="A315" s="316" t="s">
        <v>1206</v>
      </c>
      <c r="B315" s="317" t="s">
        <v>5</v>
      </c>
      <c r="C315" s="317" t="s">
        <v>360</v>
      </c>
      <c r="D315" s="317" t="s">
        <v>1344</v>
      </c>
      <c r="E315" s="317" t="s">
        <v>354</v>
      </c>
      <c r="F315" s="312">
        <v>2577000</v>
      </c>
      <c r="G315" s="312">
        <v>2577000</v>
      </c>
      <c r="H315" s="123" t="str">
        <f t="shared" si="5"/>
        <v>041208100S6070810</v>
      </c>
    </row>
    <row r="316" spans="1:8" ht="76.5">
      <c r="A316" s="316" t="s">
        <v>1342</v>
      </c>
      <c r="B316" s="317" t="s">
        <v>5</v>
      </c>
      <c r="C316" s="317" t="s">
        <v>360</v>
      </c>
      <c r="D316" s="317" t="s">
        <v>1344</v>
      </c>
      <c r="E316" s="317" t="s">
        <v>1343</v>
      </c>
      <c r="F316" s="312">
        <v>2577000</v>
      </c>
      <c r="G316" s="312">
        <v>2577000</v>
      </c>
      <c r="H316" s="123" t="str">
        <f t="shared" si="5"/>
        <v>041208100S6070813</v>
      </c>
    </row>
    <row r="317" spans="1:8" ht="38.25">
      <c r="A317" s="316" t="s">
        <v>447</v>
      </c>
      <c r="B317" s="317" t="s">
        <v>5</v>
      </c>
      <c r="C317" s="317" t="s">
        <v>360</v>
      </c>
      <c r="D317" s="317" t="s">
        <v>1310</v>
      </c>
      <c r="E317" s="317" t="s">
        <v>1173</v>
      </c>
      <c r="F317" s="312">
        <v>3000</v>
      </c>
      <c r="G317" s="312">
        <v>3000</v>
      </c>
      <c r="H317" s="123" t="str">
        <f t="shared" si="5"/>
        <v>04120820000000</v>
      </c>
    </row>
    <row r="318" spans="1:8" ht="127.5">
      <c r="A318" s="316" t="s">
        <v>1311</v>
      </c>
      <c r="B318" s="317" t="s">
        <v>5</v>
      </c>
      <c r="C318" s="317" t="s">
        <v>360</v>
      </c>
      <c r="D318" s="317" t="s">
        <v>1312</v>
      </c>
      <c r="E318" s="317" t="s">
        <v>1173</v>
      </c>
      <c r="F318" s="312">
        <v>3000</v>
      </c>
      <c r="G318" s="312">
        <v>3000</v>
      </c>
      <c r="H318" s="123" t="str">
        <f t="shared" si="5"/>
        <v>04120820080030</v>
      </c>
    </row>
    <row r="319" spans="1:8" ht="38.25">
      <c r="A319" s="316" t="s">
        <v>1319</v>
      </c>
      <c r="B319" s="317" t="s">
        <v>5</v>
      </c>
      <c r="C319" s="317" t="s">
        <v>360</v>
      </c>
      <c r="D319" s="317" t="s">
        <v>1312</v>
      </c>
      <c r="E319" s="317" t="s">
        <v>1320</v>
      </c>
      <c r="F319" s="312">
        <v>3000</v>
      </c>
      <c r="G319" s="312">
        <v>3000</v>
      </c>
      <c r="H319" s="123" t="str">
        <f t="shared" si="5"/>
        <v>04120820080030200</v>
      </c>
    </row>
    <row r="320" spans="1:8" ht="38.25">
      <c r="A320" s="316" t="s">
        <v>1196</v>
      </c>
      <c r="B320" s="317" t="s">
        <v>5</v>
      </c>
      <c r="C320" s="317" t="s">
        <v>360</v>
      </c>
      <c r="D320" s="317" t="s">
        <v>1312</v>
      </c>
      <c r="E320" s="317" t="s">
        <v>1197</v>
      </c>
      <c r="F320" s="312">
        <v>3000</v>
      </c>
      <c r="G320" s="312">
        <v>3000</v>
      </c>
      <c r="H320" s="123" t="str">
        <f t="shared" si="5"/>
        <v>04120820080030240</v>
      </c>
    </row>
    <row r="321" spans="1:8">
      <c r="A321" s="316" t="s">
        <v>1223</v>
      </c>
      <c r="B321" s="317" t="s">
        <v>5</v>
      </c>
      <c r="C321" s="317" t="s">
        <v>360</v>
      </c>
      <c r="D321" s="317" t="s">
        <v>1312</v>
      </c>
      <c r="E321" s="317" t="s">
        <v>329</v>
      </c>
      <c r="F321" s="312">
        <v>3000</v>
      </c>
      <c r="G321" s="312">
        <v>3000</v>
      </c>
      <c r="H321" s="123" t="str">
        <f t="shared" si="5"/>
        <v>04120820080030244</v>
      </c>
    </row>
    <row r="322" spans="1:8" ht="38.25">
      <c r="A322" s="316" t="s">
        <v>493</v>
      </c>
      <c r="B322" s="317" t="s">
        <v>5</v>
      </c>
      <c r="C322" s="317" t="s">
        <v>360</v>
      </c>
      <c r="D322" s="317" t="s">
        <v>1002</v>
      </c>
      <c r="E322" s="317" t="s">
        <v>1173</v>
      </c>
      <c r="F322" s="312">
        <v>93000</v>
      </c>
      <c r="G322" s="312">
        <v>93000</v>
      </c>
      <c r="H322" s="123" t="str">
        <f t="shared" si="5"/>
        <v>04121200000000</v>
      </c>
    </row>
    <row r="323" spans="1:8" ht="25.5">
      <c r="A323" s="316" t="s">
        <v>495</v>
      </c>
      <c r="B323" s="317" t="s">
        <v>5</v>
      </c>
      <c r="C323" s="317" t="s">
        <v>360</v>
      </c>
      <c r="D323" s="317" t="s">
        <v>1004</v>
      </c>
      <c r="E323" s="317" t="s">
        <v>1173</v>
      </c>
      <c r="F323" s="312">
        <v>93000</v>
      </c>
      <c r="G323" s="312">
        <v>93000</v>
      </c>
      <c r="H323" s="123" t="str">
        <f t="shared" si="5"/>
        <v>04121220000000</v>
      </c>
    </row>
    <row r="324" spans="1:8" ht="89.25">
      <c r="A324" s="316" t="s">
        <v>1174</v>
      </c>
      <c r="B324" s="317" t="s">
        <v>5</v>
      </c>
      <c r="C324" s="317" t="s">
        <v>360</v>
      </c>
      <c r="D324" s="317" t="s">
        <v>1175</v>
      </c>
      <c r="E324" s="317" t="s">
        <v>1173</v>
      </c>
      <c r="F324" s="312">
        <v>93000</v>
      </c>
      <c r="G324" s="312">
        <v>93000</v>
      </c>
      <c r="H324" s="123" t="str">
        <f t="shared" si="5"/>
        <v>04121220080010</v>
      </c>
    </row>
    <row r="325" spans="1:8" ht="38.25">
      <c r="A325" s="316" t="s">
        <v>1319</v>
      </c>
      <c r="B325" s="317" t="s">
        <v>5</v>
      </c>
      <c r="C325" s="317" t="s">
        <v>360</v>
      </c>
      <c r="D325" s="317" t="s">
        <v>1175</v>
      </c>
      <c r="E325" s="317" t="s">
        <v>1320</v>
      </c>
      <c r="F325" s="312">
        <v>93000</v>
      </c>
      <c r="G325" s="312">
        <v>93000</v>
      </c>
      <c r="H325" s="123" t="str">
        <f t="shared" si="5"/>
        <v>04121220080010200</v>
      </c>
    </row>
    <row r="326" spans="1:8" ht="38.25">
      <c r="A326" s="316" t="s">
        <v>1196</v>
      </c>
      <c r="B326" s="317" t="s">
        <v>5</v>
      </c>
      <c r="C326" s="317" t="s">
        <v>360</v>
      </c>
      <c r="D326" s="317" t="s">
        <v>1175</v>
      </c>
      <c r="E326" s="317" t="s">
        <v>1197</v>
      </c>
      <c r="F326" s="312">
        <v>93000</v>
      </c>
      <c r="G326" s="312">
        <v>93000</v>
      </c>
      <c r="H326" s="123" t="str">
        <f t="shared" si="5"/>
        <v>04121220080010240</v>
      </c>
    </row>
    <row r="327" spans="1:8">
      <c r="A327" s="316" t="s">
        <v>1223</v>
      </c>
      <c r="B327" s="317" t="s">
        <v>5</v>
      </c>
      <c r="C327" s="317" t="s">
        <v>360</v>
      </c>
      <c r="D327" s="317" t="s">
        <v>1175</v>
      </c>
      <c r="E327" s="317" t="s">
        <v>329</v>
      </c>
      <c r="F327" s="312">
        <v>93000</v>
      </c>
      <c r="G327" s="312">
        <v>93000</v>
      </c>
      <c r="H327" s="123" t="str">
        <f t="shared" si="5"/>
        <v>04121220080010244</v>
      </c>
    </row>
    <row r="328" spans="1:8" ht="25.5">
      <c r="A328" s="316" t="s">
        <v>239</v>
      </c>
      <c r="B328" s="317" t="s">
        <v>5</v>
      </c>
      <c r="C328" s="317" t="s">
        <v>1141</v>
      </c>
      <c r="D328" s="317" t="s">
        <v>1173</v>
      </c>
      <c r="E328" s="317" t="s">
        <v>1173</v>
      </c>
      <c r="F328" s="312">
        <v>243526757</v>
      </c>
      <c r="G328" s="312">
        <v>243526757</v>
      </c>
      <c r="H328" s="123" t="str">
        <f t="shared" si="5"/>
        <v>0500</v>
      </c>
    </row>
    <row r="329" spans="1:8">
      <c r="A329" s="316" t="s">
        <v>146</v>
      </c>
      <c r="B329" s="317" t="s">
        <v>5</v>
      </c>
      <c r="C329" s="317" t="s">
        <v>364</v>
      </c>
      <c r="D329" s="317" t="s">
        <v>1173</v>
      </c>
      <c r="E329" s="317" t="s">
        <v>1173</v>
      </c>
      <c r="F329" s="312">
        <v>243526757</v>
      </c>
      <c r="G329" s="312">
        <v>243526757</v>
      </c>
      <c r="H329" s="123" t="str">
        <f t="shared" si="5"/>
        <v>0502</v>
      </c>
    </row>
    <row r="330" spans="1:8" ht="63.75">
      <c r="A330" s="316" t="s">
        <v>452</v>
      </c>
      <c r="B330" s="317" t="s">
        <v>5</v>
      </c>
      <c r="C330" s="317" t="s">
        <v>364</v>
      </c>
      <c r="D330" s="317" t="s">
        <v>974</v>
      </c>
      <c r="E330" s="317" t="s">
        <v>1173</v>
      </c>
      <c r="F330" s="312">
        <v>243471800</v>
      </c>
      <c r="G330" s="312">
        <v>243471800</v>
      </c>
      <c r="H330" s="123" t="str">
        <f t="shared" si="5"/>
        <v>05020300000000</v>
      </c>
    </row>
    <row r="331" spans="1:8" ht="51">
      <c r="A331" s="316" t="s">
        <v>591</v>
      </c>
      <c r="B331" s="317" t="s">
        <v>5</v>
      </c>
      <c r="C331" s="317" t="s">
        <v>364</v>
      </c>
      <c r="D331" s="317" t="s">
        <v>975</v>
      </c>
      <c r="E331" s="317" t="s">
        <v>1173</v>
      </c>
      <c r="F331" s="312">
        <v>243471800</v>
      </c>
      <c r="G331" s="312">
        <v>243471800</v>
      </c>
      <c r="H331" s="123" t="str">
        <f t="shared" si="5"/>
        <v>05020320000000</v>
      </c>
    </row>
    <row r="332" spans="1:8" ht="140.25">
      <c r="A332" s="316" t="s">
        <v>1161</v>
      </c>
      <c r="B332" s="317" t="s">
        <v>5</v>
      </c>
      <c r="C332" s="317" t="s">
        <v>364</v>
      </c>
      <c r="D332" s="317" t="s">
        <v>679</v>
      </c>
      <c r="E332" s="317" t="s">
        <v>1173</v>
      </c>
      <c r="F332" s="312">
        <v>226371300</v>
      </c>
      <c r="G332" s="312">
        <v>226371300</v>
      </c>
      <c r="H332" s="123" t="str">
        <f t="shared" si="5"/>
        <v>05020320075700</v>
      </c>
    </row>
    <row r="333" spans="1:8">
      <c r="A333" s="316" t="s">
        <v>1321</v>
      </c>
      <c r="B333" s="317" t="s">
        <v>5</v>
      </c>
      <c r="C333" s="317" t="s">
        <v>364</v>
      </c>
      <c r="D333" s="317" t="s">
        <v>679</v>
      </c>
      <c r="E333" s="317" t="s">
        <v>1322</v>
      </c>
      <c r="F333" s="312">
        <v>226371300</v>
      </c>
      <c r="G333" s="312">
        <v>226371300</v>
      </c>
      <c r="H333" s="123" t="str">
        <f t="shared" si="5"/>
        <v>05020320075700800</v>
      </c>
    </row>
    <row r="334" spans="1:8" ht="63.75">
      <c r="A334" s="316" t="s">
        <v>1206</v>
      </c>
      <c r="B334" s="317" t="s">
        <v>5</v>
      </c>
      <c r="C334" s="317" t="s">
        <v>364</v>
      </c>
      <c r="D334" s="317" t="s">
        <v>679</v>
      </c>
      <c r="E334" s="317" t="s">
        <v>354</v>
      </c>
      <c r="F334" s="312">
        <v>226371300</v>
      </c>
      <c r="G334" s="312">
        <v>226371300</v>
      </c>
      <c r="H334" s="123" t="str">
        <f t="shared" si="5"/>
        <v>05020320075700810</v>
      </c>
    </row>
    <row r="335" spans="1:8" ht="76.5">
      <c r="A335" s="316" t="s">
        <v>1225</v>
      </c>
      <c r="B335" s="317" t="s">
        <v>5</v>
      </c>
      <c r="C335" s="317" t="s">
        <v>364</v>
      </c>
      <c r="D335" s="317" t="s">
        <v>679</v>
      </c>
      <c r="E335" s="317" t="s">
        <v>1226</v>
      </c>
      <c r="F335" s="312">
        <v>226371300</v>
      </c>
      <c r="G335" s="312">
        <v>226371300</v>
      </c>
      <c r="H335" s="123" t="str">
        <f t="shared" si="5"/>
        <v>05020320075700811</v>
      </c>
    </row>
    <row r="336" spans="1:8" ht="216.75">
      <c r="A336" s="316" t="s">
        <v>1345</v>
      </c>
      <c r="B336" s="317" t="s">
        <v>5</v>
      </c>
      <c r="C336" s="317" t="s">
        <v>364</v>
      </c>
      <c r="D336" s="317" t="s">
        <v>678</v>
      </c>
      <c r="E336" s="317" t="s">
        <v>1173</v>
      </c>
      <c r="F336" s="312">
        <v>17100500</v>
      </c>
      <c r="G336" s="312">
        <v>17100500</v>
      </c>
      <c r="H336" s="123" t="str">
        <f t="shared" si="5"/>
        <v>05020320075770</v>
      </c>
    </row>
    <row r="337" spans="1:8">
      <c r="A337" s="316" t="s">
        <v>1321</v>
      </c>
      <c r="B337" s="317" t="s">
        <v>5</v>
      </c>
      <c r="C337" s="317" t="s">
        <v>364</v>
      </c>
      <c r="D337" s="317" t="s">
        <v>678</v>
      </c>
      <c r="E337" s="317" t="s">
        <v>1322</v>
      </c>
      <c r="F337" s="312">
        <v>17100500</v>
      </c>
      <c r="G337" s="312">
        <v>17100500</v>
      </c>
      <c r="H337" s="123" t="str">
        <f t="shared" si="5"/>
        <v>05020320075770800</v>
      </c>
    </row>
    <row r="338" spans="1:8" ht="63.75">
      <c r="A338" s="316" t="s">
        <v>1206</v>
      </c>
      <c r="B338" s="317" t="s">
        <v>5</v>
      </c>
      <c r="C338" s="317" t="s">
        <v>364</v>
      </c>
      <c r="D338" s="317" t="s">
        <v>678</v>
      </c>
      <c r="E338" s="317" t="s">
        <v>354</v>
      </c>
      <c r="F338" s="312">
        <v>17100500</v>
      </c>
      <c r="G338" s="312">
        <v>17100500</v>
      </c>
      <c r="H338" s="123" t="str">
        <f t="shared" si="5"/>
        <v>05020320075770810</v>
      </c>
    </row>
    <row r="339" spans="1:8" ht="76.5">
      <c r="A339" s="316" t="s">
        <v>1225</v>
      </c>
      <c r="B339" s="317" t="s">
        <v>5</v>
      </c>
      <c r="C339" s="317" t="s">
        <v>364</v>
      </c>
      <c r="D339" s="317" t="s">
        <v>678</v>
      </c>
      <c r="E339" s="317" t="s">
        <v>1226</v>
      </c>
      <c r="F339" s="312">
        <v>17100500</v>
      </c>
      <c r="G339" s="312">
        <v>17100500</v>
      </c>
      <c r="H339" s="123" t="str">
        <f t="shared" si="5"/>
        <v>05020320075770811</v>
      </c>
    </row>
    <row r="340" spans="1:8" ht="25.5">
      <c r="A340" s="316" t="s">
        <v>601</v>
      </c>
      <c r="B340" s="317" t="s">
        <v>5</v>
      </c>
      <c r="C340" s="317" t="s">
        <v>364</v>
      </c>
      <c r="D340" s="317" t="s">
        <v>1011</v>
      </c>
      <c r="E340" s="317" t="s">
        <v>1173</v>
      </c>
      <c r="F340" s="312">
        <v>54957</v>
      </c>
      <c r="G340" s="312">
        <v>54957</v>
      </c>
      <c r="H340" s="123" t="str">
        <f t="shared" si="5"/>
        <v>05029000000000</v>
      </c>
    </row>
    <row r="341" spans="1:8" ht="38.25">
      <c r="A341" s="316" t="s">
        <v>431</v>
      </c>
      <c r="B341" s="317" t="s">
        <v>5</v>
      </c>
      <c r="C341" s="317" t="s">
        <v>364</v>
      </c>
      <c r="D341" s="317" t="s">
        <v>1015</v>
      </c>
      <c r="E341" s="317" t="s">
        <v>1173</v>
      </c>
      <c r="F341" s="312">
        <v>54957</v>
      </c>
      <c r="G341" s="312">
        <v>54957</v>
      </c>
      <c r="H341" s="123" t="str">
        <f t="shared" si="5"/>
        <v>05029090000000</v>
      </c>
    </row>
    <row r="342" spans="1:8" ht="63.75">
      <c r="A342" s="316" t="s">
        <v>680</v>
      </c>
      <c r="B342" s="317" t="s">
        <v>5</v>
      </c>
      <c r="C342" s="317" t="s">
        <v>364</v>
      </c>
      <c r="D342" s="317" t="s">
        <v>681</v>
      </c>
      <c r="E342" s="317" t="s">
        <v>1173</v>
      </c>
      <c r="F342" s="312">
        <v>54957</v>
      </c>
      <c r="G342" s="312">
        <v>54957</v>
      </c>
      <c r="H342" s="123" t="str">
        <f t="shared" si="5"/>
        <v>050290900Ш0000</v>
      </c>
    </row>
    <row r="343" spans="1:8" ht="38.25">
      <c r="A343" s="316" t="s">
        <v>1319</v>
      </c>
      <c r="B343" s="317" t="s">
        <v>5</v>
      </c>
      <c r="C343" s="317" t="s">
        <v>364</v>
      </c>
      <c r="D343" s="317" t="s">
        <v>681</v>
      </c>
      <c r="E343" s="317" t="s">
        <v>1320</v>
      </c>
      <c r="F343" s="312">
        <v>54957</v>
      </c>
      <c r="G343" s="312">
        <v>54957</v>
      </c>
      <c r="H343" s="123" t="str">
        <f t="shared" si="5"/>
        <v>050290900Ш0000200</v>
      </c>
    </row>
    <row r="344" spans="1:8" ht="38.25">
      <c r="A344" s="316" t="s">
        <v>1196</v>
      </c>
      <c r="B344" s="317" t="s">
        <v>5</v>
      </c>
      <c r="C344" s="317" t="s">
        <v>364</v>
      </c>
      <c r="D344" s="317" t="s">
        <v>681</v>
      </c>
      <c r="E344" s="317" t="s">
        <v>1197</v>
      </c>
      <c r="F344" s="312">
        <v>54957</v>
      </c>
      <c r="G344" s="312">
        <v>54957</v>
      </c>
      <c r="H344" s="123" t="str">
        <f t="shared" si="5"/>
        <v>050290900Ш0000240</v>
      </c>
    </row>
    <row r="345" spans="1:8">
      <c r="A345" s="316" t="s">
        <v>1223</v>
      </c>
      <c r="B345" s="317" t="s">
        <v>5</v>
      </c>
      <c r="C345" s="317" t="s">
        <v>364</v>
      </c>
      <c r="D345" s="317" t="s">
        <v>681</v>
      </c>
      <c r="E345" s="317" t="s">
        <v>329</v>
      </c>
      <c r="F345" s="312">
        <v>54957</v>
      </c>
      <c r="G345" s="312">
        <v>54957</v>
      </c>
      <c r="H345" s="123" t="str">
        <f t="shared" si="5"/>
        <v>050290900Ш0000244</v>
      </c>
    </row>
    <row r="346" spans="1:8">
      <c r="A346" s="316" t="s">
        <v>1646</v>
      </c>
      <c r="B346" s="317" t="s">
        <v>5</v>
      </c>
      <c r="C346" s="317" t="s">
        <v>1647</v>
      </c>
      <c r="D346" s="317" t="s">
        <v>1173</v>
      </c>
      <c r="E346" s="317" t="s">
        <v>1173</v>
      </c>
      <c r="F346" s="312">
        <v>786000</v>
      </c>
      <c r="G346" s="312">
        <v>786000</v>
      </c>
      <c r="H346" s="123" t="str">
        <f t="shared" si="5"/>
        <v>0600</v>
      </c>
    </row>
    <row r="347" spans="1:8" ht="25.5">
      <c r="A347" s="316" t="s">
        <v>1713</v>
      </c>
      <c r="B347" s="317" t="s">
        <v>5</v>
      </c>
      <c r="C347" s="317" t="s">
        <v>1714</v>
      </c>
      <c r="D347" s="317" t="s">
        <v>1173</v>
      </c>
      <c r="E347" s="317" t="s">
        <v>1173</v>
      </c>
      <c r="F347" s="312">
        <v>786000</v>
      </c>
      <c r="G347" s="312">
        <v>786000</v>
      </c>
      <c r="H347" s="123" t="str">
        <f t="shared" si="5"/>
        <v>0603</v>
      </c>
    </row>
    <row r="348" spans="1:8" ht="25.5">
      <c r="A348" s="316" t="s">
        <v>1708</v>
      </c>
      <c r="B348" s="317" t="s">
        <v>5</v>
      </c>
      <c r="C348" s="317" t="s">
        <v>1714</v>
      </c>
      <c r="D348" s="317" t="s">
        <v>1709</v>
      </c>
      <c r="E348" s="317" t="s">
        <v>1173</v>
      </c>
      <c r="F348" s="312">
        <v>786000</v>
      </c>
      <c r="G348" s="312">
        <v>786000</v>
      </c>
      <c r="H348" s="123"/>
    </row>
    <row r="349" spans="1:8" ht="25.5">
      <c r="A349" s="316" t="s">
        <v>1715</v>
      </c>
      <c r="B349" s="317" t="s">
        <v>5</v>
      </c>
      <c r="C349" s="317" t="s">
        <v>1714</v>
      </c>
      <c r="D349" s="317" t="s">
        <v>1716</v>
      </c>
      <c r="E349" s="317" t="s">
        <v>1173</v>
      </c>
      <c r="F349" s="312">
        <v>786000</v>
      </c>
      <c r="G349" s="312">
        <v>786000</v>
      </c>
      <c r="H349" s="123"/>
    </row>
    <row r="350" spans="1:8" ht="102">
      <c r="A350" s="316" t="s">
        <v>1717</v>
      </c>
      <c r="B350" s="317" t="s">
        <v>5</v>
      </c>
      <c r="C350" s="317" t="s">
        <v>1714</v>
      </c>
      <c r="D350" s="317" t="s">
        <v>1718</v>
      </c>
      <c r="E350" s="317" t="s">
        <v>1173</v>
      </c>
      <c r="F350" s="312">
        <v>786000</v>
      </c>
      <c r="G350" s="312">
        <v>786000</v>
      </c>
      <c r="H350" s="123" t="str">
        <f t="shared" si="5"/>
        <v>06030220075180</v>
      </c>
    </row>
    <row r="351" spans="1:8" ht="76.5">
      <c r="A351" s="316" t="s">
        <v>1318</v>
      </c>
      <c r="B351" s="317" t="s">
        <v>5</v>
      </c>
      <c r="C351" s="317" t="s">
        <v>1714</v>
      </c>
      <c r="D351" s="317" t="s">
        <v>1718</v>
      </c>
      <c r="E351" s="317" t="s">
        <v>273</v>
      </c>
      <c r="F351" s="312">
        <v>77700</v>
      </c>
      <c r="G351" s="312">
        <v>77700</v>
      </c>
      <c r="H351" s="123" t="str">
        <f t="shared" si="5"/>
        <v>06030220075180100</v>
      </c>
    </row>
    <row r="352" spans="1:8" ht="38.25">
      <c r="A352" s="316" t="s">
        <v>1203</v>
      </c>
      <c r="B352" s="317" t="s">
        <v>5</v>
      </c>
      <c r="C352" s="317" t="s">
        <v>1714</v>
      </c>
      <c r="D352" s="317" t="s">
        <v>1718</v>
      </c>
      <c r="E352" s="317" t="s">
        <v>28</v>
      </c>
      <c r="F352" s="312">
        <v>77700</v>
      </c>
      <c r="G352" s="312">
        <v>77700</v>
      </c>
      <c r="H352" s="123" t="str">
        <f t="shared" si="5"/>
        <v>06030220075180120</v>
      </c>
    </row>
    <row r="353" spans="1:8" ht="25.5">
      <c r="A353" s="316" t="s">
        <v>953</v>
      </c>
      <c r="B353" s="317" t="s">
        <v>5</v>
      </c>
      <c r="C353" s="317" t="s">
        <v>1714</v>
      </c>
      <c r="D353" s="317" t="s">
        <v>1718</v>
      </c>
      <c r="E353" s="317" t="s">
        <v>324</v>
      </c>
      <c r="F353" s="312">
        <v>59689</v>
      </c>
      <c r="G353" s="312">
        <v>59689</v>
      </c>
      <c r="H353" s="123" t="str">
        <f t="shared" si="5"/>
        <v>06030220075180121</v>
      </c>
    </row>
    <row r="354" spans="1:8" ht="63.75">
      <c r="A354" s="316" t="s">
        <v>1054</v>
      </c>
      <c r="B354" s="317" t="s">
        <v>5</v>
      </c>
      <c r="C354" s="317" t="s">
        <v>1714</v>
      </c>
      <c r="D354" s="317" t="s">
        <v>1718</v>
      </c>
      <c r="E354" s="317" t="s">
        <v>1055</v>
      </c>
      <c r="F354" s="312">
        <v>18011</v>
      </c>
      <c r="G354" s="312">
        <v>18011</v>
      </c>
      <c r="H354" s="123" t="str">
        <f t="shared" si="5"/>
        <v>06030220075180129</v>
      </c>
    </row>
    <row r="355" spans="1:8" ht="38.25">
      <c r="A355" s="316" t="s">
        <v>1319</v>
      </c>
      <c r="B355" s="317" t="s">
        <v>5</v>
      </c>
      <c r="C355" s="317" t="s">
        <v>1714</v>
      </c>
      <c r="D355" s="317" t="s">
        <v>1718</v>
      </c>
      <c r="E355" s="317" t="s">
        <v>1320</v>
      </c>
      <c r="F355" s="312">
        <v>708300</v>
      </c>
      <c r="G355" s="312">
        <v>708300</v>
      </c>
      <c r="H355" s="123" t="str">
        <f t="shared" si="5"/>
        <v>06030220075180200</v>
      </c>
    </row>
    <row r="356" spans="1:8" ht="38.25">
      <c r="A356" s="316" t="s">
        <v>1196</v>
      </c>
      <c r="B356" s="317" t="s">
        <v>5</v>
      </c>
      <c r="C356" s="317" t="s">
        <v>1714</v>
      </c>
      <c r="D356" s="317" t="s">
        <v>1718</v>
      </c>
      <c r="E356" s="317" t="s">
        <v>1197</v>
      </c>
      <c r="F356" s="312">
        <v>708300</v>
      </c>
      <c r="G356" s="312">
        <v>708300</v>
      </c>
      <c r="H356" s="123" t="str">
        <f t="shared" si="5"/>
        <v>06030220075180240</v>
      </c>
    </row>
    <row r="357" spans="1:8">
      <c r="A357" s="316" t="s">
        <v>1223</v>
      </c>
      <c r="B357" s="317" t="s">
        <v>5</v>
      </c>
      <c r="C357" s="317" t="s">
        <v>1714</v>
      </c>
      <c r="D357" s="317" t="s">
        <v>1718</v>
      </c>
      <c r="E357" s="317" t="s">
        <v>329</v>
      </c>
      <c r="F357" s="312">
        <v>708300</v>
      </c>
      <c r="G357" s="312">
        <v>708300</v>
      </c>
      <c r="H357" s="123" t="str">
        <f t="shared" si="5"/>
        <v>06030220075180244</v>
      </c>
    </row>
    <row r="358" spans="1:8">
      <c r="A358" s="316" t="s">
        <v>249</v>
      </c>
      <c r="B358" s="317" t="s">
        <v>5</v>
      </c>
      <c r="C358" s="317" t="s">
        <v>1148</v>
      </c>
      <c r="D358" s="317" t="s">
        <v>1173</v>
      </c>
      <c r="E358" s="317" t="s">
        <v>1173</v>
      </c>
      <c r="F358" s="312">
        <v>150000</v>
      </c>
      <c r="G358" s="312">
        <v>150000</v>
      </c>
      <c r="H358" s="123" t="str">
        <f t="shared" si="5"/>
        <v>0800</v>
      </c>
    </row>
    <row r="359" spans="1:8">
      <c r="A359" s="316" t="s">
        <v>209</v>
      </c>
      <c r="B359" s="317" t="s">
        <v>5</v>
      </c>
      <c r="C359" s="317" t="s">
        <v>392</v>
      </c>
      <c r="D359" s="317" t="s">
        <v>1173</v>
      </c>
      <c r="E359" s="317" t="s">
        <v>1173</v>
      </c>
      <c r="F359" s="312">
        <v>150000</v>
      </c>
      <c r="G359" s="312">
        <v>150000</v>
      </c>
      <c r="H359" s="123" t="str">
        <f t="shared" si="5"/>
        <v>0801</v>
      </c>
    </row>
    <row r="360" spans="1:8" ht="51">
      <c r="A360" s="316" t="s">
        <v>1719</v>
      </c>
      <c r="B360" s="317" t="s">
        <v>5</v>
      </c>
      <c r="C360" s="317" t="s">
        <v>392</v>
      </c>
      <c r="D360" s="317" t="s">
        <v>1720</v>
      </c>
      <c r="E360" s="317" t="s">
        <v>1173</v>
      </c>
      <c r="F360" s="312">
        <v>150000</v>
      </c>
      <c r="G360" s="312">
        <v>150000</v>
      </c>
      <c r="H360" s="123" t="str">
        <f t="shared" si="5"/>
        <v>08011300000000</v>
      </c>
    </row>
    <row r="361" spans="1:8" ht="38.25">
      <c r="A361" s="316" t="s">
        <v>1721</v>
      </c>
      <c r="B361" s="317" t="s">
        <v>5</v>
      </c>
      <c r="C361" s="317" t="s">
        <v>392</v>
      </c>
      <c r="D361" s="317" t="s">
        <v>1722</v>
      </c>
      <c r="E361" s="317" t="s">
        <v>1173</v>
      </c>
      <c r="F361" s="312">
        <v>150000</v>
      </c>
      <c r="G361" s="312">
        <v>150000</v>
      </c>
      <c r="H361" s="123" t="str">
        <f t="shared" si="5"/>
        <v>08011310000000</v>
      </c>
    </row>
    <row r="362" spans="1:8" ht="127.5">
      <c r="A362" s="316" t="s">
        <v>1723</v>
      </c>
      <c r="B362" s="317" t="s">
        <v>5</v>
      </c>
      <c r="C362" s="317" t="s">
        <v>392</v>
      </c>
      <c r="D362" s="317" t="s">
        <v>1724</v>
      </c>
      <c r="E362" s="317" t="s">
        <v>1173</v>
      </c>
      <c r="F362" s="312">
        <v>150000</v>
      </c>
      <c r="G362" s="312">
        <v>150000</v>
      </c>
      <c r="H362" s="123" t="str">
        <f t="shared" si="5"/>
        <v>08011310080010</v>
      </c>
    </row>
    <row r="363" spans="1:8" ht="38.25">
      <c r="A363" s="316" t="s">
        <v>1327</v>
      </c>
      <c r="B363" s="317" t="s">
        <v>5</v>
      </c>
      <c r="C363" s="317" t="s">
        <v>392</v>
      </c>
      <c r="D363" s="317" t="s">
        <v>1724</v>
      </c>
      <c r="E363" s="317" t="s">
        <v>1328</v>
      </c>
      <c r="F363" s="312">
        <v>150000</v>
      </c>
      <c r="G363" s="312">
        <v>150000</v>
      </c>
      <c r="H363" s="123" t="str">
        <f t="shared" si="5"/>
        <v>08011310080010600</v>
      </c>
    </row>
    <row r="364" spans="1:8" ht="63.75">
      <c r="A364" s="316" t="s">
        <v>1947</v>
      </c>
      <c r="B364" s="317" t="s">
        <v>5</v>
      </c>
      <c r="C364" s="317" t="s">
        <v>392</v>
      </c>
      <c r="D364" s="317" t="s">
        <v>1724</v>
      </c>
      <c r="E364" s="317" t="s">
        <v>1725</v>
      </c>
      <c r="F364" s="312">
        <v>150000</v>
      </c>
      <c r="G364" s="312">
        <v>150000</v>
      </c>
      <c r="H364" s="123" t="str">
        <f t="shared" si="5"/>
        <v>08011310080010630</v>
      </c>
    </row>
    <row r="365" spans="1:8" ht="38.25">
      <c r="A365" s="316" t="s">
        <v>1726</v>
      </c>
      <c r="B365" s="317" t="s">
        <v>5</v>
      </c>
      <c r="C365" s="317" t="s">
        <v>392</v>
      </c>
      <c r="D365" s="317" t="s">
        <v>1724</v>
      </c>
      <c r="E365" s="317" t="s">
        <v>1727</v>
      </c>
      <c r="F365" s="312">
        <v>150000</v>
      </c>
      <c r="G365" s="312">
        <v>150000</v>
      </c>
      <c r="H365" s="123" t="str">
        <f t="shared" si="5"/>
        <v>08011310080010633</v>
      </c>
    </row>
    <row r="366" spans="1:8">
      <c r="A366" s="316" t="s">
        <v>141</v>
      </c>
      <c r="B366" s="317" t="s">
        <v>5</v>
      </c>
      <c r="C366" s="317" t="s">
        <v>1143</v>
      </c>
      <c r="D366" s="317" t="s">
        <v>1173</v>
      </c>
      <c r="E366" s="317" t="s">
        <v>1173</v>
      </c>
      <c r="F366" s="312">
        <v>911400</v>
      </c>
      <c r="G366" s="312">
        <v>911400</v>
      </c>
      <c r="H366" s="123" t="str">
        <f t="shared" si="5"/>
        <v>1000</v>
      </c>
    </row>
    <row r="367" spans="1:8" ht="25.5">
      <c r="A367" s="316" t="s">
        <v>63</v>
      </c>
      <c r="B367" s="317" t="s">
        <v>5</v>
      </c>
      <c r="C367" s="317" t="s">
        <v>394</v>
      </c>
      <c r="D367" s="317" t="s">
        <v>1173</v>
      </c>
      <c r="E367" s="317" t="s">
        <v>1173</v>
      </c>
      <c r="F367" s="312">
        <v>911400</v>
      </c>
      <c r="G367" s="312">
        <v>911400</v>
      </c>
      <c r="H367" s="123" t="str">
        <f t="shared" si="5"/>
        <v>1006</v>
      </c>
    </row>
    <row r="368" spans="1:8" ht="38.25">
      <c r="A368" s="316" t="s">
        <v>599</v>
      </c>
      <c r="B368" s="317" t="s">
        <v>5</v>
      </c>
      <c r="C368" s="317" t="s">
        <v>394</v>
      </c>
      <c r="D368" s="317" t="s">
        <v>1006</v>
      </c>
      <c r="E368" s="317" t="s">
        <v>1173</v>
      </c>
      <c r="F368" s="312">
        <v>911400</v>
      </c>
      <c r="G368" s="312">
        <v>911400</v>
      </c>
      <c r="H368" s="123" t="str">
        <f t="shared" si="5"/>
        <v>10068000000000</v>
      </c>
    </row>
    <row r="369" spans="1:8" ht="51">
      <c r="A369" s="316" t="s">
        <v>600</v>
      </c>
      <c r="B369" s="317" t="s">
        <v>5</v>
      </c>
      <c r="C369" s="317" t="s">
        <v>394</v>
      </c>
      <c r="D369" s="317" t="s">
        <v>1008</v>
      </c>
      <c r="E369" s="317" t="s">
        <v>1173</v>
      </c>
      <c r="F369" s="312">
        <v>911400</v>
      </c>
      <c r="G369" s="312">
        <v>911400</v>
      </c>
      <c r="H369" s="123" t="str">
        <f t="shared" ref="H369:H429" si="6">CONCATENATE(C369,,D369,E369)</f>
        <v>10068020000000</v>
      </c>
    </row>
    <row r="370" spans="1:8" ht="89.25">
      <c r="A370" s="316" t="s">
        <v>1346</v>
      </c>
      <c r="B370" s="317" t="s">
        <v>5</v>
      </c>
      <c r="C370" s="317" t="s">
        <v>394</v>
      </c>
      <c r="D370" s="317" t="s">
        <v>1347</v>
      </c>
      <c r="E370" s="317" t="s">
        <v>1173</v>
      </c>
      <c r="F370" s="312">
        <v>911400</v>
      </c>
      <c r="G370" s="312">
        <v>911400</v>
      </c>
      <c r="H370" s="123" t="str">
        <f t="shared" si="6"/>
        <v>10068020002890</v>
      </c>
    </row>
    <row r="371" spans="1:8" ht="76.5">
      <c r="A371" s="316" t="s">
        <v>1318</v>
      </c>
      <c r="B371" s="317" t="s">
        <v>5</v>
      </c>
      <c r="C371" s="317" t="s">
        <v>394</v>
      </c>
      <c r="D371" s="317" t="s">
        <v>1347</v>
      </c>
      <c r="E371" s="317" t="s">
        <v>273</v>
      </c>
      <c r="F371" s="312">
        <v>802400</v>
      </c>
      <c r="G371" s="312">
        <v>901400</v>
      </c>
      <c r="H371" s="123" t="str">
        <f t="shared" si="6"/>
        <v>10068020002890100</v>
      </c>
    </row>
    <row r="372" spans="1:8" ht="38.25">
      <c r="A372" s="316" t="s">
        <v>1203</v>
      </c>
      <c r="B372" s="317" t="s">
        <v>5</v>
      </c>
      <c r="C372" s="317" t="s">
        <v>394</v>
      </c>
      <c r="D372" s="317" t="s">
        <v>1347</v>
      </c>
      <c r="E372" s="317" t="s">
        <v>28</v>
      </c>
      <c r="F372" s="312">
        <v>802400</v>
      </c>
      <c r="G372" s="312">
        <v>901400</v>
      </c>
      <c r="H372" s="123" t="str">
        <f t="shared" si="6"/>
        <v>10068020002890120</v>
      </c>
    </row>
    <row r="373" spans="1:8" ht="25.5">
      <c r="A373" s="316" t="s">
        <v>953</v>
      </c>
      <c r="B373" s="317" t="s">
        <v>5</v>
      </c>
      <c r="C373" s="317" t="s">
        <v>394</v>
      </c>
      <c r="D373" s="317" t="s">
        <v>1347</v>
      </c>
      <c r="E373" s="317" t="s">
        <v>324</v>
      </c>
      <c r="F373" s="312">
        <v>596893</v>
      </c>
      <c r="G373" s="312">
        <v>596893</v>
      </c>
      <c r="H373" s="123" t="str">
        <f t="shared" si="6"/>
        <v>10068020002890121</v>
      </c>
    </row>
    <row r="374" spans="1:8" ht="51">
      <c r="A374" s="316" t="s">
        <v>325</v>
      </c>
      <c r="B374" s="317" t="s">
        <v>5</v>
      </c>
      <c r="C374" s="317" t="s">
        <v>394</v>
      </c>
      <c r="D374" s="317" t="s">
        <v>1347</v>
      </c>
      <c r="E374" s="317" t="s">
        <v>326</v>
      </c>
      <c r="F374" s="312">
        <v>25200</v>
      </c>
      <c r="G374" s="312">
        <v>124200</v>
      </c>
      <c r="H374" s="123" t="str">
        <f t="shared" si="6"/>
        <v>10068020002890122</v>
      </c>
    </row>
    <row r="375" spans="1:8" ht="63.75">
      <c r="A375" s="316" t="s">
        <v>1054</v>
      </c>
      <c r="B375" s="317" t="s">
        <v>5</v>
      </c>
      <c r="C375" s="317" t="s">
        <v>394</v>
      </c>
      <c r="D375" s="317" t="s">
        <v>1347</v>
      </c>
      <c r="E375" s="317" t="s">
        <v>1055</v>
      </c>
      <c r="F375" s="312">
        <v>180307</v>
      </c>
      <c r="G375" s="312">
        <v>180307</v>
      </c>
      <c r="H375" s="123" t="str">
        <f t="shared" si="6"/>
        <v>10068020002890129</v>
      </c>
    </row>
    <row r="376" spans="1:8" ht="38.25">
      <c r="A376" s="316" t="s">
        <v>1319</v>
      </c>
      <c r="B376" s="317" t="s">
        <v>5</v>
      </c>
      <c r="C376" s="317" t="s">
        <v>394</v>
      </c>
      <c r="D376" s="317" t="s">
        <v>1347</v>
      </c>
      <c r="E376" s="317" t="s">
        <v>1320</v>
      </c>
      <c r="F376" s="312">
        <v>109000</v>
      </c>
      <c r="G376" s="312">
        <v>10000</v>
      </c>
      <c r="H376" s="123" t="str">
        <f t="shared" si="6"/>
        <v>10068020002890200</v>
      </c>
    </row>
    <row r="377" spans="1:8" ht="38.25">
      <c r="A377" s="316" t="s">
        <v>1196</v>
      </c>
      <c r="B377" s="317" t="s">
        <v>5</v>
      </c>
      <c r="C377" s="317" t="s">
        <v>394</v>
      </c>
      <c r="D377" s="317" t="s">
        <v>1347</v>
      </c>
      <c r="E377" s="317" t="s">
        <v>1197</v>
      </c>
      <c r="F377" s="312">
        <v>109000</v>
      </c>
      <c r="G377" s="312">
        <v>10000</v>
      </c>
      <c r="H377" s="123" t="str">
        <f t="shared" si="6"/>
        <v>10068020002890240</v>
      </c>
    </row>
    <row r="378" spans="1:8">
      <c r="A378" s="316" t="s">
        <v>1223</v>
      </c>
      <c r="B378" s="317" t="s">
        <v>5</v>
      </c>
      <c r="C378" s="317" t="s">
        <v>394</v>
      </c>
      <c r="D378" s="317" t="s">
        <v>1347</v>
      </c>
      <c r="E378" s="317" t="s">
        <v>329</v>
      </c>
      <c r="F378" s="312">
        <v>109000</v>
      </c>
      <c r="G378" s="312">
        <v>10000</v>
      </c>
      <c r="H378" s="123" t="str">
        <f t="shared" si="6"/>
        <v>10068020002890244</v>
      </c>
    </row>
    <row r="379" spans="1:8" ht="25.5">
      <c r="A379" s="316" t="s">
        <v>1062</v>
      </c>
      <c r="B379" s="317" t="s">
        <v>354</v>
      </c>
      <c r="C379" s="317" t="s">
        <v>1173</v>
      </c>
      <c r="D379" s="317" t="s">
        <v>1173</v>
      </c>
      <c r="E379" s="317" t="s">
        <v>1173</v>
      </c>
      <c r="F379" s="312">
        <v>8316621</v>
      </c>
      <c r="G379" s="312">
        <v>8316621</v>
      </c>
      <c r="H379" s="123" t="str">
        <f t="shared" si="6"/>
        <v/>
      </c>
    </row>
    <row r="380" spans="1:8">
      <c r="A380" s="316" t="s">
        <v>234</v>
      </c>
      <c r="B380" s="317" t="s">
        <v>354</v>
      </c>
      <c r="C380" s="317" t="s">
        <v>1135</v>
      </c>
      <c r="D380" s="317" t="s">
        <v>1173</v>
      </c>
      <c r="E380" s="317" t="s">
        <v>1173</v>
      </c>
      <c r="F380" s="312">
        <v>8316621</v>
      </c>
      <c r="G380" s="312">
        <v>8316621</v>
      </c>
      <c r="H380" s="123" t="str">
        <f t="shared" si="6"/>
        <v>0100</v>
      </c>
    </row>
    <row r="381" spans="1:8">
      <c r="A381" s="316" t="s">
        <v>217</v>
      </c>
      <c r="B381" s="317" t="s">
        <v>354</v>
      </c>
      <c r="C381" s="317" t="s">
        <v>337</v>
      </c>
      <c r="D381" s="317" t="s">
        <v>1173</v>
      </c>
      <c r="E381" s="317" t="s">
        <v>1173</v>
      </c>
      <c r="F381" s="312">
        <v>8316621</v>
      </c>
      <c r="G381" s="312">
        <v>8316621</v>
      </c>
      <c r="H381" s="123" t="str">
        <f t="shared" si="6"/>
        <v>0113</v>
      </c>
    </row>
    <row r="382" spans="1:8" ht="25.5">
      <c r="A382" s="316" t="s">
        <v>601</v>
      </c>
      <c r="B382" s="317" t="s">
        <v>354</v>
      </c>
      <c r="C382" s="317" t="s">
        <v>337</v>
      </c>
      <c r="D382" s="317" t="s">
        <v>1011</v>
      </c>
      <c r="E382" s="317" t="s">
        <v>1173</v>
      </c>
      <c r="F382" s="312">
        <v>8316621</v>
      </c>
      <c r="G382" s="312">
        <v>8316621</v>
      </c>
      <c r="H382" s="123" t="str">
        <f t="shared" si="6"/>
        <v>01139000000000</v>
      </c>
    </row>
    <row r="383" spans="1:8" ht="38.25">
      <c r="A383" s="316" t="s">
        <v>1063</v>
      </c>
      <c r="B383" s="317" t="s">
        <v>354</v>
      </c>
      <c r="C383" s="317" t="s">
        <v>337</v>
      </c>
      <c r="D383" s="317" t="s">
        <v>1064</v>
      </c>
      <c r="E383" s="317" t="s">
        <v>1173</v>
      </c>
      <c r="F383" s="312">
        <v>8316621</v>
      </c>
      <c r="G383" s="312">
        <v>8316621</v>
      </c>
      <c r="H383" s="123" t="str">
        <f t="shared" si="6"/>
        <v>01139070000000</v>
      </c>
    </row>
    <row r="384" spans="1:8" ht="38.25">
      <c r="A384" s="316" t="s">
        <v>1063</v>
      </c>
      <c r="B384" s="317" t="s">
        <v>354</v>
      </c>
      <c r="C384" s="317" t="s">
        <v>337</v>
      </c>
      <c r="D384" s="317" t="s">
        <v>1076</v>
      </c>
      <c r="E384" s="317" t="s">
        <v>1173</v>
      </c>
      <c r="F384" s="312">
        <v>8086621</v>
      </c>
      <c r="G384" s="312">
        <v>8086621</v>
      </c>
      <c r="H384" s="123" t="str">
        <f t="shared" si="6"/>
        <v>01139070040000</v>
      </c>
    </row>
    <row r="385" spans="1:8" ht="76.5">
      <c r="A385" s="316" t="s">
        <v>1318</v>
      </c>
      <c r="B385" s="317" t="s">
        <v>354</v>
      </c>
      <c r="C385" s="317" t="s">
        <v>337</v>
      </c>
      <c r="D385" s="317" t="s">
        <v>1076</v>
      </c>
      <c r="E385" s="317" t="s">
        <v>273</v>
      </c>
      <c r="F385" s="312">
        <v>7676847</v>
      </c>
      <c r="G385" s="312">
        <v>7676847</v>
      </c>
      <c r="H385" s="123" t="str">
        <f t="shared" si="6"/>
        <v>01139070040000100</v>
      </c>
    </row>
    <row r="386" spans="1:8" ht="38.25">
      <c r="A386" s="316" t="s">
        <v>1203</v>
      </c>
      <c r="B386" s="317" t="s">
        <v>354</v>
      </c>
      <c r="C386" s="317" t="s">
        <v>337</v>
      </c>
      <c r="D386" s="317" t="s">
        <v>1076</v>
      </c>
      <c r="E386" s="317" t="s">
        <v>28</v>
      </c>
      <c r="F386" s="312">
        <v>7676847</v>
      </c>
      <c r="G386" s="312">
        <v>7676847</v>
      </c>
      <c r="H386" s="123" t="str">
        <f t="shared" si="6"/>
        <v>01139070040000120</v>
      </c>
    </row>
    <row r="387" spans="1:8" ht="25.5">
      <c r="A387" s="316" t="s">
        <v>953</v>
      </c>
      <c r="B387" s="317" t="s">
        <v>354</v>
      </c>
      <c r="C387" s="317" t="s">
        <v>337</v>
      </c>
      <c r="D387" s="317" t="s">
        <v>1076</v>
      </c>
      <c r="E387" s="317" t="s">
        <v>324</v>
      </c>
      <c r="F387" s="312">
        <v>5880835</v>
      </c>
      <c r="G387" s="312">
        <v>5880835</v>
      </c>
      <c r="H387" s="123" t="str">
        <f t="shared" si="6"/>
        <v>01139070040000121</v>
      </c>
    </row>
    <row r="388" spans="1:8" ht="51">
      <c r="A388" s="316" t="s">
        <v>325</v>
      </c>
      <c r="B388" s="317" t="s">
        <v>354</v>
      </c>
      <c r="C388" s="317" t="s">
        <v>337</v>
      </c>
      <c r="D388" s="317" t="s">
        <v>1076</v>
      </c>
      <c r="E388" s="317" t="s">
        <v>326</v>
      </c>
      <c r="F388" s="312">
        <v>20000</v>
      </c>
      <c r="G388" s="312">
        <v>20000</v>
      </c>
      <c r="H388" s="123" t="str">
        <f t="shared" si="6"/>
        <v>01139070040000122</v>
      </c>
    </row>
    <row r="389" spans="1:8" ht="63.75">
      <c r="A389" s="316" t="s">
        <v>1054</v>
      </c>
      <c r="B389" s="317" t="s">
        <v>354</v>
      </c>
      <c r="C389" s="317" t="s">
        <v>337</v>
      </c>
      <c r="D389" s="317" t="s">
        <v>1076</v>
      </c>
      <c r="E389" s="317" t="s">
        <v>1055</v>
      </c>
      <c r="F389" s="312">
        <v>1776012</v>
      </c>
      <c r="G389" s="312">
        <v>1776012</v>
      </c>
      <c r="H389" s="123" t="str">
        <f t="shared" si="6"/>
        <v>01139070040000129</v>
      </c>
    </row>
    <row r="390" spans="1:8" ht="38.25">
      <c r="A390" s="316" t="s">
        <v>1319</v>
      </c>
      <c r="B390" s="317" t="s">
        <v>354</v>
      </c>
      <c r="C390" s="317" t="s">
        <v>337</v>
      </c>
      <c r="D390" s="317" t="s">
        <v>1076</v>
      </c>
      <c r="E390" s="317" t="s">
        <v>1320</v>
      </c>
      <c r="F390" s="312">
        <v>409774</v>
      </c>
      <c r="G390" s="312">
        <v>409774</v>
      </c>
      <c r="H390" s="123" t="str">
        <f t="shared" si="6"/>
        <v>01139070040000200</v>
      </c>
    </row>
    <row r="391" spans="1:8" ht="38.25">
      <c r="A391" s="316" t="s">
        <v>1196</v>
      </c>
      <c r="B391" s="317" t="s">
        <v>354</v>
      </c>
      <c r="C391" s="317" t="s">
        <v>337</v>
      </c>
      <c r="D391" s="317" t="s">
        <v>1076</v>
      </c>
      <c r="E391" s="317" t="s">
        <v>1197</v>
      </c>
      <c r="F391" s="312">
        <v>409774</v>
      </c>
      <c r="G391" s="312">
        <v>409774</v>
      </c>
      <c r="H391" s="123" t="str">
        <f t="shared" si="6"/>
        <v>01139070040000240</v>
      </c>
    </row>
    <row r="392" spans="1:8">
      <c r="A392" s="316" t="s">
        <v>1223</v>
      </c>
      <c r="B392" s="317" t="s">
        <v>354</v>
      </c>
      <c r="C392" s="317" t="s">
        <v>337</v>
      </c>
      <c r="D392" s="317" t="s">
        <v>1076</v>
      </c>
      <c r="E392" s="317" t="s">
        <v>329</v>
      </c>
      <c r="F392" s="312">
        <v>409774</v>
      </c>
      <c r="G392" s="312">
        <v>409774</v>
      </c>
      <c r="H392" s="123" t="str">
        <f t="shared" si="6"/>
        <v>01139070040000244</v>
      </c>
    </row>
    <row r="393" spans="1:8" ht="63.75">
      <c r="A393" s="316" t="s">
        <v>1145</v>
      </c>
      <c r="B393" s="317" t="s">
        <v>354</v>
      </c>
      <c r="C393" s="317" t="s">
        <v>337</v>
      </c>
      <c r="D393" s="317" t="s">
        <v>1146</v>
      </c>
      <c r="E393" s="317" t="s">
        <v>1173</v>
      </c>
      <c r="F393" s="312">
        <v>230000</v>
      </c>
      <c r="G393" s="312">
        <v>230000</v>
      </c>
      <c r="H393" s="123" t="str">
        <f t="shared" si="6"/>
        <v>01139070047000</v>
      </c>
    </row>
    <row r="394" spans="1:8" ht="76.5">
      <c r="A394" s="316" t="s">
        <v>1318</v>
      </c>
      <c r="B394" s="317" t="s">
        <v>354</v>
      </c>
      <c r="C394" s="317" t="s">
        <v>337</v>
      </c>
      <c r="D394" s="317" t="s">
        <v>1146</v>
      </c>
      <c r="E394" s="317" t="s">
        <v>273</v>
      </c>
      <c r="F394" s="312">
        <v>230000</v>
      </c>
      <c r="G394" s="312">
        <v>230000</v>
      </c>
      <c r="H394" s="123" t="str">
        <f t="shared" si="6"/>
        <v>01139070047000100</v>
      </c>
    </row>
    <row r="395" spans="1:8" ht="38.25">
      <c r="A395" s="316" t="s">
        <v>1203</v>
      </c>
      <c r="B395" s="317" t="s">
        <v>354</v>
      </c>
      <c r="C395" s="317" t="s">
        <v>337</v>
      </c>
      <c r="D395" s="317" t="s">
        <v>1146</v>
      </c>
      <c r="E395" s="317" t="s">
        <v>28</v>
      </c>
      <c r="F395" s="312">
        <v>230000</v>
      </c>
      <c r="G395" s="312">
        <v>230000</v>
      </c>
      <c r="H395" s="123" t="str">
        <f t="shared" si="6"/>
        <v>01139070047000120</v>
      </c>
    </row>
    <row r="396" spans="1:8" ht="51">
      <c r="A396" s="316" t="s">
        <v>325</v>
      </c>
      <c r="B396" s="317" t="s">
        <v>354</v>
      </c>
      <c r="C396" s="317" t="s">
        <v>337</v>
      </c>
      <c r="D396" s="317" t="s">
        <v>1146</v>
      </c>
      <c r="E396" s="317" t="s">
        <v>326</v>
      </c>
      <c r="F396" s="312">
        <v>230000</v>
      </c>
      <c r="G396" s="312">
        <v>230000</v>
      </c>
      <c r="H396" s="123" t="str">
        <f t="shared" si="6"/>
        <v>01139070047000122</v>
      </c>
    </row>
    <row r="397" spans="1:8" ht="25.5">
      <c r="A397" s="316" t="s">
        <v>253</v>
      </c>
      <c r="B397" s="317" t="s">
        <v>201</v>
      </c>
      <c r="C397" s="317" t="s">
        <v>1173</v>
      </c>
      <c r="D397" s="317" t="s">
        <v>1173</v>
      </c>
      <c r="E397" s="317" t="s">
        <v>1173</v>
      </c>
      <c r="F397" s="312">
        <v>5499200</v>
      </c>
      <c r="G397" s="312">
        <v>5499200</v>
      </c>
      <c r="H397" s="123" t="str">
        <f t="shared" si="6"/>
        <v/>
      </c>
    </row>
    <row r="398" spans="1:8" ht="25.5">
      <c r="A398" s="316" t="s">
        <v>239</v>
      </c>
      <c r="B398" s="317" t="s">
        <v>201</v>
      </c>
      <c r="C398" s="317" t="s">
        <v>1141</v>
      </c>
      <c r="D398" s="317" t="s">
        <v>1173</v>
      </c>
      <c r="E398" s="317" t="s">
        <v>1173</v>
      </c>
      <c r="F398" s="312">
        <v>5499200</v>
      </c>
      <c r="G398" s="312">
        <v>5499200</v>
      </c>
      <c r="H398" s="123" t="str">
        <f t="shared" si="6"/>
        <v>0500</v>
      </c>
    </row>
    <row r="399" spans="1:8" ht="25.5">
      <c r="A399" s="316" t="s">
        <v>151</v>
      </c>
      <c r="B399" s="317" t="s">
        <v>201</v>
      </c>
      <c r="C399" s="317" t="s">
        <v>389</v>
      </c>
      <c r="D399" s="317" t="s">
        <v>1173</v>
      </c>
      <c r="E399" s="317" t="s">
        <v>1173</v>
      </c>
      <c r="F399" s="312">
        <v>5499200</v>
      </c>
      <c r="G399" s="312">
        <v>5499200</v>
      </c>
      <c r="H399" s="123" t="str">
        <f t="shared" si="6"/>
        <v>0505</v>
      </c>
    </row>
    <row r="400" spans="1:8" ht="25.5">
      <c r="A400" s="316" t="s">
        <v>601</v>
      </c>
      <c r="B400" s="317" t="s">
        <v>201</v>
      </c>
      <c r="C400" s="317" t="s">
        <v>389</v>
      </c>
      <c r="D400" s="317" t="s">
        <v>1011</v>
      </c>
      <c r="E400" s="317" t="s">
        <v>1173</v>
      </c>
      <c r="F400" s="312">
        <v>5499200</v>
      </c>
      <c r="G400" s="312">
        <v>5499200</v>
      </c>
      <c r="H400" s="123" t="str">
        <f t="shared" si="6"/>
        <v>05059000000000</v>
      </c>
    </row>
    <row r="401" spans="1:8" ht="51">
      <c r="A401" s="316" t="s">
        <v>390</v>
      </c>
      <c r="B401" s="317" t="s">
        <v>201</v>
      </c>
      <c r="C401" s="317" t="s">
        <v>389</v>
      </c>
      <c r="D401" s="317" t="s">
        <v>1013</v>
      </c>
      <c r="E401" s="317" t="s">
        <v>1173</v>
      </c>
      <c r="F401" s="312">
        <v>5499200</v>
      </c>
      <c r="G401" s="312">
        <v>5499200</v>
      </c>
      <c r="H401" s="123" t="str">
        <f t="shared" si="6"/>
        <v>05059050000000</v>
      </c>
    </row>
    <row r="402" spans="1:8" ht="51">
      <c r="A402" s="316" t="s">
        <v>390</v>
      </c>
      <c r="B402" s="317" t="s">
        <v>201</v>
      </c>
      <c r="C402" s="317" t="s">
        <v>389</v>
      </c>
      <c r="D402" s="317" t="s">
        <v>694</v>
      </c>
      <c r="E402" s="317" t="s">
        <v>1173</v>
      </c>
      <c r="F402" s="312">
        <v>5379200</v>
      </c>
      <c r="G402" s="312">
        <v>5379200</v>
      </c>
      <c r="H402" s="123" t="str">
        <f t="shared" si="6"/>
        <v>05059050040000</v>
      </c>
    </row>
    <row r="403" spans="1:8" ht="76.5">
      <c r="A403" s="316" t="s">
        <v>1318</v>
      </c>
      <c r="B403" s="317" t="s">
        <v>201</v>
      </c>
      <c r="C403" s="317" t="s">
        <v>389</v>
      </c>
      <c r="D403" s="317" t="s">
        <v>694</v>
      </c>
      <c r="E403" s="317" t="s">
        <v>273</v>
      </c>
      <c r="F403" s="312">
        <v>5003677</v>
      </c>
      <c r="G403" s="312">
        <v>5003677</v>
      </c>
      <c r="H403" s="123" t="str">
        <f t="shared" si="6"/>
        <v>05059050040000100</v>
      </c>
    </row>
    <row r="404" spans="1:8" ht="25.5">
      <c r="A404" s="316" t="s">
        <v>1190</v>
      </c>
      <c r="B404" s="317" t="s">
        <v>201</v>
      </c>
      <c r="C404" s="317" t="s">
        <v>389</v>
      </c>
      <c r="D404" s="317" t="s">
        <v>694</v>
      </c>
      <c r="E404" s="317" t="s">
        <v>133</v>
      </c>
      <c r="F404" s="312">
        <v>5003677</v>
      </c>
      <c r="G404" s="312">
        <v>5003677</v>
      </c>
      <c r="H404" s="123" t="str">
        <f t="shared" si="6"/>
        <v>05059050040000110</v>
      </c>
    </row>
    <row r="405" spans="1:8">
      <c r="A405" s="316" t="s">
        <v>1138</v>
      </c>
      <c r="B405" s="317" t="s">
        <v>201</v>
      </c>
      <c r="C405" s="317" t="s">
        <v>389</v>
      </c>
      <c r="D405" s="317" t="s">
        <v>694</v>
      </c>
      <c r="E405" s="317" t="s">
        <v>342</v>
      </c>
      <c r="F405" s="312">
        <v>3781702</v>
      </c>
      <c r="G405" s="312">
        <v>3781702</v>
      </c>
      <c r="H405" s="123" t="str">
        <f t="shared" si="6"/>
        <v>05059050040000111</v>
      </c>
    </row>
    <row r="406" spans="1:8" ht="25.5">
      <c r="A406" s="316" t="s">
        <v>1147</v>
      </c>
      <c r="B406" s="317" t="s">
        <v>201</v>
      </c>
      <c r="C406" s="317" t="s">
        <v>389</v>
      </c>
      <c r="D406" s="317" t="s">
        <v>694</v>
      </c>
      <c r="E406" s="317" t="s">
        <v>391</v>
      </c>
      <c r="F406" s="312">
        <v>79901</v>
      </c>
      <c r="G406" s="312">
        <v>79901</v>
      </c>
      <c r="H406" s="123" t="str">
        <f t="shared" si="6"/>
        <v>05059050040000112</v>
      </c>
    </row>
    <row r="407" spans="1:8" ht="51">
      <c r="A407" s="316" t="s">
        <v>1139</v>
      </c>
      <c r="B407" s="317" t="s">
        <v>201</v>
      </c>
      <c r="C407" s="317" t="s">
        <v>389</v>
      </c>
      <c r="D407" s="317" t="s">
        <v>694</v>
      </c>
      <c r="E407" s="317" t="s">
        <v>1056</v>
      </c>
      <c r="F407" s="312">
        <v>1142074</v>
      </c>
      <c r="G407" s="312">
        <v>1142074</v>
      </c>
      <c r="H407" s="123" t="str">
        <f t="shared" si="6"/>
        <v>05059050040000119</v>
      </c>
    </row>
    <row r="408" spans="1:8" ht="38.25">
      <c r="A408" s="316" t="s">
        <v>1319</v>
      </c>
      <c r="B408" s="317" t="s">
        <v>201</v>
      </c>
      <c r="C408" s="317" t="s">
        <v>389</v>
      </c>
      <c r="D408" s="317" t="s">
        <v>694</v>
      </c>
      <c r="E408" s="317" t="s">
        <v>1320</v>
      </c>
      <c r="F408" s="312">
        <v>375523</v>
      </c>
      <c r="G408" s="312">
        <v>375523</v>
      </c>
      <c r="H408" s="123" t="str">
        <f t="shared" si="6"/>
        <v>05059050040000200</v>
      </c>
    </row>
    <row r="409" spans="1:8" ht="38.25">
      <c r="A409" s="316" t="s">
        <v>1196</v>
      </c>
      <c r="B409" s="317" t="s">
        <v>201</v>
      </c>
      <c r="C409" s="317" t="s">
        <v>389</v>
      </c>
      <c r="D409" s="317" t="s">
        <v>694</v>
      </c>
      <c r="E409" s="317" t="s">
        <v>1197</v>
      </c>
      <c r="F409" s="312">
        <v>375523</v>
      </c>
      <c r="G409" s="312">
        <v>375523</v>
      </c>
      <c r="H409" s="123" t="str">
        <f t="shared" si="6"/>
        <v>05059050040000240</v>
      </c>
    </row>
    <row r="410" spans="1:8">
      <c r="A410" s="316" t="s">
        <v>1223</v>
      </c>
      <c r="B410" s="317" t="s">
        <v>201</v>
      </c>
      <c r="C410" s="317" t="s">
        <v>389</v>
      </c>
      <c r="D410" s="317" t="s">
        <v>694</v>
      </c>
      <c r="E410" s="317" t="s">
        <v>329</v>
      </c>
      <c r="F410" s="312">
        <v>375523</v>
      </c>
      <c r="G410" s="312">
        <v>375523</v>
      </c>
      <c r="H410" s="123" t="str">
        <f t="shared" si="6"/>
        <v>05059050040000244</v>
      </c>
    </row>
    <row r="411" spans="1:8" ht="76.5">
      <c r="A411" s="316" t="s">
        <v>563</v>
      </c>
      <c r="B411" s="317" t="s">
        <v>201</v>
      </c>
      <c r="C411" s="317" t="s">
        <v>389</v>
      </c>
      <c r="D411" s="317" t="s">
        <v>695</v>
      </c>
      <c r="E411" s="317" t="s">
        <v>1173</v>
      </c>
      <c r="F411" s="312">
        <v>120000</v>
      </c>
      <c r="G411" s="312">
        <v>120000</v>
      </c>
      <c r="H411" s="123" t="str">
        <f t="shared" si="6"/>
        <v>05059050047000</v>
      </c>
    </row>
    <row r="412" spans="1:8" ht="76.5">
      <c r="A412" s="316" t="s">
        <v>1318</v>
      </c>
      <c r="B412" s="317" t="s">
        <v>201</v>
      </c>
      <c r="C412" s="317" t="s">
        <v>389</v>
      </c>
      <c r="D412" s="317" t="s">
        <v>695</v>
      </c>
      <c r="E412" s="317" t="s">
        <v>273</v>
      </c>
      <c r="F412" s="312">
        <v>120000</v>
      </c>
      <c r="G412" s="312">
        <v>120000</v>
      </c>
      <c r="H412" s="123" t="str">
        <f t="shared" si="6"/>
        <v>05059050047000100</v>
      </c>
    </row>
    <row r="413" spans="1:8" ht="25.5">
      <c r="A413" s="316" t="s">
        <v>1190</v>
      </c>
      <c r="B413" s="317" t="s">
        <v>201</v>
      </c>
      <c r="C413" s="317" t="s">
        <v>389</v>
      </c>
      <c r="D413" s="317" t="s">
        <v>695</v>
      </c>
      <c r="E413" s="317" t="s">
        <v>133</v>
      </c>
      <c r="F413" s="312">
        <v>120000</v>
      </c>
      <c r="G413" s="312">
        <v>120000</v>
      </c>
      <c r="H413" s="123" t="str">
        <f t="shared" si="6"/>
        <v>05059050047000110</v>
      </c>
    </row>
    <row r="414" spans="1:8" ht="25.5">
      <c r="A414" s="316" t="s">
        <v>1147</v>
      </c>
      <c r="B414" s="317" t="s">
        <v>201</v>
      </c>
      <c r="C414" s="317" t="s">
        <v>389</v>
      </c>
      <c r="D414" s="317" t="s">
        <v>695</v>
      </c>
      <c r="E414" s="317" t="s">
        <v>391</v>
      </c>
      <c r="F414" s="312">
        <v>120000</v>
      </c>
      <c r="G414" s="312">
        <v>120000</v>
      </c>
      <c r="H414" s="123" t="str">
        <f t="shared" si="6"/>
        <v>05059050047000112</v>
      </c>
    </row>
    <row r="415" spans="1:8" ht="51">
      <c r="A415" s="316" t="s">
        <v>1348</v>
      </c>
      <c r="B415" s="317" t="s">
        <v>230</v>
      </c>
      <c r="C415" s="317" t="s">
        <v>1173</v>
      </c>
      <c r="D415" s="317" t="s">
        <v>1173</v>
      </c>
      <c r="E415" s="317" t="s">
        <v>1173</v>
      </c>
      <c r="F415" s="312">
        <v>302109720</v>
      </c>
      <c r="G415" s="312">
        <v>302109720</v>
      </c>
      <c r="H415" s="123" t="str">
        <f t="shared" si="6"/>
        <v/>
      </c>
    </row>
    <row r="416" spans="1:8">
      <c r="A416" s="316" t="s">
        <v>140</v>
      </c>
      <c r="B416" s="317" t="s">
        <v>230</v>
      </c>
      <c r="C416" s="317" t="s">
        <v>1142</v>
      </c>
      <c r="D416" s="317" t="s">
        <v>1173</v>
      </c>
      <c r="E416" s="317" t="s">
        <v>1173</v>
      </c>
      <c r="F416" s="312">
        <v>61849108</v>
      </c>
      <c r="G416" s="312">
        <v>61849108</v>
      </c>
      <c r="H416" s="123" t="str">
        <f t="shared" si="6"/>
        <v>0700</v>
      </c>
    </row>
    <row r="417" spans="1:8">
      <c r="A417" s="316" t="s">
        <v>1077</v>
      </c>
      <c r="B417" s="317" t="s">
        <v>230</v>
      </c>
      <c r="C417" s="317" t="s">
        <v>1078</v>
      </c>
      <c r="D417" s="317" t="s">
        <v>1173</v>
      </c>
      <c r="E417" s="317" t="s">
        <v>1173</v>
      </c>
      <c r="F417" s="312">
        <v>50671255</v>
      </c>
      <c r="G417" s="312">
        <v>50671255</v>
      </c>
      <c r="H417" s="123" t="str">
        <f t="shared" si="6"/>
        <v>0703</v>
      </c>
    </row>
    <row r="418" spans="1:8" ht="25.5">
      <c r="A418" s="316" t="s">
        <v>461</v>
      </c>
      <c r="B418" s="317" t="s">
        <v>230</v>
      </c>
      <c r="C418" s="317" t="s">
        <v>1078</v>
      </c>
      <c r="D418" s="317" t="s">
        <v>981</v>
      </c>
      <c r="E418" s="317" t="s">
        <v>1173</v>
      </c>
      <c r="F418" s="312">
        <v>50671255</v>
      </c>
      <c r="G418" s="312">
        <v>50671255</v>
      </c>
      <c r="H418" s="123" t="str">
        <f t="shared" si="6"/>
        <v>07030500000000</v>
      </c>
    </row>
    <row r="419" spans="1:8" ht="38.25">
      <c r="A419" s="316" t="s">
        <v>595</v>
      </c>
      <c r="B419" s="317" t="s">
        <v>230</v>
      </c>
      <c r="C419" s="317" t="s">
        <v>1078</v>
      </c>
      <c r="D419" s="317" t="s">
        <v>984</v>
      </c>
      <c r="E419" s="317" t="s">
        <v>1173</v>
      </c>
      <c r="F419" s="312">
        <v>50671255</v>
      </c>
      <c r="G419" s="312">
        <v>50671255</v>
      </c>
      <c r="H419" s="123" t="str">
        <f t="shared" si="6"/>
        <v>07030530000000</v>
      </c>
    </row>
    <row r="420" spans="1:8" ht="127.5">
      <c r="A420" s="316" t="s">
        <v>509</v>
      </c>
      <c r="B420" s="317" t="s">
        <v>230</v>
      </c>
      <c r="C420" s="317" t="s">
        <v>1078</v>
      </c>
      <c r="D420" s="317" t="s">
        <v>703</v>
      </c>
      <c r="E420" s="317" t="s">
        <v>1173</v>
      </c>
      <c r="F420" s="312">
        <v>36162465</v>
      </c>
      <c r="G420" s="312">
        <v>36162465</v>
      </c>
      <c r="H420" s="123" t="str">
        <f t="shared" si="6"/>
        <v>07030530040000</v>
      </c>
    </row>
    <row r="421" spans="1:8" ht="38.25">
      <c r="A421" s="316" t="s">
        <v>1327</v>
      </c>
      <c r="B421" s="317" t="s">
        <v>230</v>
      </c>
      <c r="C421" s="317" t="s">
        <v>1078</v>
      </c>
      <c r="D421" s="317" t="s">
        <v>703</v>
      </c>
      <c r="E421" s="317" t="s">
        <v>1328</v>
      </c>
      <c r="F421" s="312">
        <v>36162465</v>
      </c>
      <c r="G421" s="312">
        <v>36162465</v>
      </c>
      <c r="H421" s="123" t="str">
        <f t="shared" si="6"/>
        <v>07030530040000600</v>
      </c>
    </row>
    <row r="422" spans="1:8">
      <c r="A422" s="316" t="s">
        <v>1198</v>
      </c>
      <c r="B422" s="317" t="s">
        <v>230</v>
      </c>
      <c r="C422" s="317" t="s">
        <v>1078</v>
      </c>
      <c r="D422" s="317" t="s">
        <v>703</v>
      </c>
      <c r="E422" s="317" t="s">
        <v>1199</v>
      </c>
      <c r="F422" s="312">
        <v>36162465</v>
      </c>
      <c r="G422" s="312">
        <v>36162465</v>
      </c>
      <c r="H422" s="123" t="str">
        <f t="shared" si="6"/>
        <v>07030530040000610</v>
      </c>
    </row>
    <row r="423" spans="1:8" ht="76.5">
      <c r="A423" s="316" t="s">
        <v>347</v>
      </c>
      <c r="B423" s="317" t="s">
        <v>230</v>
      </c>
      <c r="C423" s="317" t="s">
        <v>1078</v>
      </c>
      <c r="D423" s="317" t="s">
        <v>703</v>
      </c>
      <c r="E423" s="317" t="s">
        <v>348</v>
      </c>
      <c r="F423" s="312">
        <v>36162465</v>
      </c>
      <c r="G423" s="312">
        <v>36162465</v>
      </c>
      <c r="H423" s="123" t="str">
        <f t="shared" si="6"/>
        <v>07030530040000611</v>
      </c>
    </row>
    <row r="424" spans="1:8" ht="165.75">
      <c r="A424" s="316" t="s">
        <v>510</v>
      </c>
      <c r="B424" s="317" t="s">
        <v>230</v>
      </c>
      <c r="C424" s="317" t="s">
        <v>1078</v>
      </c>
      <c r="D424" s="317" t="s">
        <v>704</v>
      </c>
      <c r="E424" s="317" t="s">
        <v>1173</v>
      </c>
      <c r="F424" s="312">
        <v>9602400</v>
      </c>
      <c r="G424" s="312">
        <v>9602400</v>
      </c>
      <c r="H424" s="123" t="str">
        <f t="shared" si="6"/>
        <v>07030530041000</v>
      </c>
    </row>
    <row r="425" spans="1:8" ht="38.25">
      <c r="A425" s="316" t="s">
        <v>1327</v>
      </c>
      <c r="B425" s="317" t="s">
        <v>230</v>
      </c>
      <c r="C425" s="317" t="s">
        <v>1078</v>
      </c>
      <c r="D425" s="317" t="s">
        <v>704</v>
      </c>
      <c r="E425" s="317" t="s">
        <v>1328</v>
      </c>
      <c r="F425" s="312">
        <v>9602400</v>
      </c>
      <c r="G425" s="312">
        <v>9602400</v>
      </c>
      <c r="H425" s="123" t="str">
        <f t="shared" si="6"/>
        <v>07030530041000600</v>
      </c>
    </row>
    <row r="426" spans="1:8">
      <c r="A426" s="316" t="s">
        <v>1198</v>
      </c>
      <c r="B426" s="317" t="s">
        <v>230</v>
      </c>
      <c r="C426" s="317" t="s">
        <v>1078</v>
      </c>
      <c r="D426" s="317" t="s">
        <v>704</v>
      </c>
      <c r="E426" s="317" t="s">
        <v>1199</v>
      </c>
      <c r="F426" s="312">
        <v>9602400</v>
      </c>
      <c r="G426" s="312">
        <v>9602400</v>
      </c>
      <c r="H426" s="123" t="str">
        <f t="shared" si="6"/>
        <v>07030530041000610</v>
      </c>
    </row>
    <row r="427" spans="1:8" ht="76.5">
      <c r="A427" s="316" t="s">
        <v>347</v>
      </c>
      <c r="B427" s="317" t="s">
        <v>230</v>
      </c>
      <c r="C427" s="317" t="s">
        <v>1078</v>
      </c>
      <c r="D427" s="317" t="s">
        <v>704</v>
      </c>
      <c r="E427" s="317" t="s">
        <v>348</v>
      </c>
      <c r="F427" s="312">
        <v>9602400</v>
      </c>
      <c r="G427" s="312">
        <v>9602400</v>
      </c>
      <c r="H427" s="123" t="str">
        <f t="shared" si="6"/>
        <v>07030530041000611</v>
      </c>
    </row>
    <row r="428" spans="1:8" ht="140.25">
      <c r="A428" s="316" t="s">
        <v>566</v>
      </c>
      <c r="B428" s="317" t="s">
        <v>230</v>
      </c>
      <c r="C428" s="317" t="s">
        <v>1078</v>
      </c>
      <c r="D428" s="317" t="s">
        <v>705</v>
      </c>
      <c r="E428" s="317" t="s">
        <v>1173</v>
      </c>
      <c r="F428" s="312">
        <v>271390</v>
      </c>
      <c r="G428" s="312">
        <v>271390</v>
      </c>
      <c r="H428" s="123" t="str">
        <f t="shared" si="6"/>
        <v>07030530045000</v>
      </c>
    </row>
    <row r="429" spans="1:8" ht="38.25">
      <c r="A429" s="316" t="s">
        <v>1327</v>
      </c>
      <c r="B429" s="317" t="s">
        <v>230</v>
      </c>
      <c r="C429" s="317" t="s">
        <v>1078</v>
      </c>
      <c r="D429" s="317" t="s">
        <v>705</v>
      </c>
      <c r="E429" s="317" t="s">
        <v>1328</v>
      </c>
      <c r="F429" s="312">
        <v>271390</v>
      </c>
      <c r="G429" s="312">
        <v>271390</v>
      </c>
      <c r="H429" s="123" t="str">
        <f t="shared" si="6"/>
        <v>07030530045000600</v>
      </c>
    </row>
    <row r="430" spans="1:8">
      <c r="A430" s="316" t="s">
        <v>1198</v>
      </c>
      <c r="B430" s="317" t="s">
        <v>230</v>
      </c>
      <c r="C430" s="317" t="s">
        <v>1078</v>
      </c>
      <c r="D430" s="317" t="s">
        <v>705</v>
      </c>
      <c r="E430" s="317" t="s">
        <v>1199</v>
      </c>
      <c r="F430" s="312">
        <v>271390</v>
      </c>
      <c r="G430" s="312">
        <v>271390</v>
      </c>
      <c r="H430" s="123" t="str">
        <f t="shared" ref="H430:H495" si="7">CONCATENATE(C430,,D430,E430)</f>
        <v>07030530045000610</v>
      </c>
    </row>
    <row r="431" spans="1:8" ht="76.5">
      <c r="A431" s="316" t="s">
        <v>347</v>
      </c>
      <c r="B431" s="317" t="s">
        <v>230</v>
      </c>
      <c r="C431" s="317" t="s">
        <v>1078</v>
      </c>
      <c r="D431" s="317" t="s">
        <v>705</v>
      </c>
      <c r="E431" s="317" t="s">
        <v>348</v>
      </c>
      <c r="F431" s="312">
        <v>271390</v>
      </c>
      <c r="G431" s="312">
        <v>271390</v>
      </c>
      <c r="H431" s="123" t="str">
        <f t="shared" si="7"/>
        <v>07030530045000611</v>
      </c>
    </row>
    <row r="432" spans="1:8" ht="127.5">
      <c r="A432" s="316" t="s">
        <v>511</v>
      </c>
      <c r="B432" s="317" t="s">
        <v>230</v>
      </c>
      <c r="C432" s="317" t="s">
        <v>1078</v>
      </c>
      <c r="D432" s="317" t="s">
        <v>706</v>
      </c>
      <c r="E432" s="317" t="s">
        <v>1173</v>
      </c>
      <c r="F432" s="312">
        <v>330000</v>
      </c>
      <c r="G432" s="312">
        <v>330000</v>
      </c>
      <c r="H432" s="123" t="str">
        <f t="shared" si="7"/>
        <v>07030530047000</v>
      </c>
    </row>
    <row r="433" spans="1:8" ht="38.25">
      <c r="A433" s="316" t="s">
        <v>1327</v>
      </c>
      <c r="B433" s="317" t="s">
        <v>230</v>
      </c>
      <c r="C433" s="317" t="s">
        <v>1078</v>
      </c>
      <c r="D433" s="317" t="s">
        <v>706</v>
      </c>
      <c r="E433" s="317" t="s">
        <v>1328</v>
      </c>
      <c r="F433" s="312">
        <v>330000</v>
      </c>
      <c r="G433" s="312">
        <v>330000</v>
      </c>
      <c r="H433" s="123" t="str">
        <f t="shared" si="7"/>
        <v>07030530047000600</v>
      </c>
    </row>
    <row r="434" spans="1:8">
      <c r="A434" s="316" t="s">
        <v>1198</v>
      </c>
      <c r="B434" s="317" t="s">
        <v>230</v>
      </c>
      <c r="C434" s="317" t="s">
        <v>1078</v>
      </c>
      <c r="D434" s="317" t="s">
        <v>706</v>
      </c>
      <c r="E434" s="317" t="s">
        <v>1199</v>
      </c>
      <c r="F434" s="312">
        <v>330000</v>
      </c>
      <c r="G434" s="312">
        <v>330000</v>
      </c>
      <c r="H434" s="123" t="str">
        <f t="shared" si="7"/>
        <v>07030530047000610</v>
      </c>
    </row>
    <row r="435" spans="1:8" ht="25.5">
      <c r="A435" s="316" t="s">
        <v>366</v>
      </c>
      <c r="B435" s="317" t="s">
        <v>230</v>
      </c>
      <c r="C435" s="317" t="s">
        <v>1078</v>
      </c>
      <c r="D435" s="317" t="s">
        <v>706</v>
      </c>
      <c r="E435" s="317" t="s">
        <v>367</v>
      </c>
      <c r="F435" s="312">
        <v>330000</v>
      </c>
      <c r="G435" s="312">
        <v>330000</v>
      </c>
      <c r="H435" s="123" t="str">
        <f t="shared" si="7"/>
        <v>07030530047000612</v>
      </c>
    </row>
    <row r="436" spans="1:8" ht="127.5">
      <c r="A436" s="316" t="s">
        <v>567</v>
      </c>
      <c r="B436" s="317" t="s">
        <v>230</v>
      </c>
      <c r="C436" s="317" t="s">
        <v>1078</v>
      </c>
      <c r="D436" s="317" t="s">
        <v>707</v>
      </c>
      <c r="E436" s="317" t="s">
        <v>1173</v>
      </c>
      <c r="F436" s="312">
        <v>3870000</v>
      </c>
      <c r="G436" s="312">
        <v>3870000</v>
      </c>
      <c r="H436" s="123" t="str">
        <f t="shared" si="7"/>
        <v>0703053004Г000</v>
      </c>
    </row>
    <row r="437" spans="1:8" ht="38.25">
      <c r="A437" s="316" t="s">
        <v>1327</v>
      </c>
      <c r="B437" s="317" t="s">
        <v>230</v>
      </c>
      <c r="C437" s="317" t="s">
        <v>1078</v>
      </c>
      <c r="D437" s="317" t="s">
        <v>707</v>
      </c>
      <c r="E437" s="317" t="s">
        <v>1328</v>
      </c>
      <c r="F437" s="312">
        <v>3870000</v>
      </c>
      <c r="G437" s="312">
        <v>3870000</v>
      </c>
      <c r="H437" s="123" t="str">
        <f t="shared" si="7"/>
        <v>0703053004Г000600</v>
      </c>
    </row>
    <row r="438" spans="1:8">
      <c r="A438" s="316" t="s">
        <v>1198</v>
      </c>
      <c r="B438" s="317" t="s">
        <v>230</v>
      </c>
      <c r="C438" s="317" t="s">
        <v>1078</v>
      </c>
      <c r="D438" s="317" t="s">
        <v>707</v>
      </c>
      <c r="E438" s="317" t="s">
        <v>1199</v>
      </c>
      <c r="F438" s="312">
        <v>3870000</v>
      </c>
      <c r="G438" s="312">
        <v>3870000</v>
      </c>
      <c r="H438" s="123"/>
    </row>
    <row r="439" spans="1:8" ht="76.5">
      <c r="A439" s="316" t="s">
        <v>347</v>
      </c>
      <c r="B439" s="317" t="s">
        <v>230</v>
      </c>
      <c r="C439" s="317" t="s">
        <v>1078</v>
      </c>
      <c r="D439" s="317" t="s">
        <v>707</v>
      </c>
      <c r="E439" s="317" t="s">
        <v>348</v>
      </c>
      <c r="F439" s="312">
        <v>3870000</v>
      </c>
      <c r="G439" s="312">
        <v>3870000</v>
      </c>
      <c r="H439" s="123" t="str">
        <f>CONCATENATE(C439,,D439,E439)</f>
        <v>0703053004Г000611</v>
      </c>
    </row>
    <row r="440" spans="1:8" ht="89.25">
      <c r="A440" s="316" t="s">
        <v>1627</v>
      </c>
      <c r="B440" s="317" t="s">
        <v>230</v>
      </c>
      <c r="C440" s="317" t="s">
        <v>1078</v>
      </c>
      <c r="D440" s="317" t="s">
        <v>1628</v>
      </c>
      <c r="E440" s="317" t="s">
        <v>1173</v>
      </c>
      <c r="F440" s="312">
        <v>54000</v>
      </c>
      <c r="G440" s="312">
        <v>54000</v>
      </c>
      <c r="H440" s="123" t="str">
        <f>CONCATENATE(C440,,D440,E440)</f>
        <v>0703053004М000</v>
      </c>
    </row>
    <row r="441" spans="1:8" ht="38.25">
      <c r="A441" s="316" t="s">
        <v>1327</v>
      </c>
      <c r="B441" s="317" t="s">
        <v>230</v>
      </c>
      <c r="C441" s="317" t="s">
        <v>1078</v>
      </c>
      <c r="D441" s="317" t="s">
        <v>1628</v>
      </c>
      <c r="E441" s="317" t="s">
        <v>1328</v>
      </c>
      <c r="F441" s="312">
        <v>54000</v>
      </c>
      <c r="G441" s="312">
        <v>54000</v>
      </c>
      <c r="H441" s="123" t="str">
        <f>CONCATENATE(C441,,D441,E441)</f>
        <v>0703053004М000600</v>
      </c>
    </row>
    <row r="442" spans="1:8">
      <c r="A442" s="316" t="s">
        <v>1198</v>
      </c>
      <c r="B442" s="317" t="s">
        <v>230</v>
      </c>
      <c r="C442" s="317" t="s">
        <v>1078</v>
      </c>
      <c r="D442" s="317" t="s">
        <v>1628</v>
      </c>
      <c r="E442" s="317" t="s">
        <v>1199</v>
      </c>
      <c r="F442" s="312">
        <v>54000</v>
      </c>
      <c r="G442" s="312">
        <v>54000</v>
      </c>
      <c r="H442" s="123" t="str">
        <f t="shared" si="7"/>
        <v>0703053004М000610</v>
      </c>
    </row>
    <row r="443" spans="1:8" ht="76.5">
      <c r="A443" s="316" t="s">
        <v>347</v>
      </c>
      <c r="B443" s="317" t="s">
        <v>230</v>
      </c>
      <c r="C443" s="317" t="s">
        <v>1078</v>
      </c>
      <c r="D443" s="317" t="s">
        <v>1628</v>
      </c>
      <c r="E443" s="317" t="s">
        <v>348</v>
      </c>
      <c r="F443" s="312">
        <v>54000</v>
      </c>
      <c r="G443" s="312">
        <v>54000</v>
      </c>
      <c r="H443" s="123" t="str">
        <f t="shared" si="7"/>
        <v>0703053004М000611</v>
      </c>
    </row>
    <row r="444" spans="1:8" ht="114.75">
      <c r="A444" s="316" t="s">
        <v>956</v>
      </c>
      <c r="B444" s="317" t="s">
        <v>230</v>
      </c>
      <c r="C444" s="317" t="s">
        <v>1078</v>
      </c>
      <c r="D444" s="317" t="s">
        <v>957</v>
      </c>
      <c r="E444" s="317" t="s">
        <v>1173</v>
      </c>
      <c r="F444" s="312">
        <v>381000</v>
      </c>
      <c r="G444" s="312">
        <v>381000</v>
      </c>
      <c r="H444" s="123" t="str">
        <f t="shared" si="7"/>
        <v>0703053004Э000</v>
      </c>
    </row>
    <row r="445" spans="1:8" ht="38.25">
      <c r="A445" s="316" t="s">
        <v>1327</v>
      </c>
      <c r="B445" s="317" t="s">
        <v>230</v>
      </c>
      <c r="C445" s="317" t="s">
        <v>1078</v>
      </c>
      <c r="D445" s="317" t="s">
        <v>957</v>
      </c>
      <c r="E445" s="317" t="s">
        <v>1328</v>
      </c>
      <c r="F445" s="312">
        <v>381000</v>
      </c>
      <c r="G445" s="312">
        <v>381000</v>
      </c>
      <c r="H445" s="123" t="str">
        <f t="shared" si="7"/>
        <v>0703053004Э000600</v>
      </c>
    </row>
    <row r="446" spans="1:8">
      <c r="A446" s="316" t="s">
        <v>1198</v>
      </c>
      <c r="B446" s="317" t="s">
        <v>230</v>
      </c>
      <c r="C446" s="317" t="s">
        <v>1078</v>
      </c>
      <c r="D446" s="317" t="s">
        <v>957</v>
      </c>
      <c r="E446" s="317" t="s">
        <v>1199</v>
      </c>
      <c r="F446" s="312">
        <v>381000</v>
      </c>
      <c r="G446" s="312">
        <v>381000</v>
      </c>
      <c r="H446" s="123" t="str">
        <f t="shared" si="7"/>
        <v>0703053004Э000610</v>
      </c>
    </row>
    <row r="447" spans="1:8" ht="76.5">
      <c r="A447" s="316" t="s">
        <v>347</v>
      </c>
      <c r="B447" s="317" t="s">
        <v>230</v>
      </c>
      <c r="C447" s="317" t="s">
        <v>1078</v>
      </c>
      <c r="D447" s="317" t="s">
        <v>957</v>
      </c>
      <c r="E447" s="317" t="s">
        <v>348</v>
      </c>
      <c r="F447" s="312">
        <v>381000</v>
      </c>
      <c r="G447" s="312">
        <v>381000</v>
      </c>
      <c r="H447" s="123" t="str">
        <f t="shared" si="7"/>
        <v>0703053004Э000611</v>
      </c>
    </row>
    <row r="448" spans="1:8" ht="72.75" customHeight="1">
      <c r="A448" s="316" t="s">
        <v>1075</v>
      </c>
      <c r="B448" s="317" t="s">
        <v>230</v>
      </c>
      <c r="C448" s="317" t="s">
        <v>365</v>
      </c>
      <c r="D448" s="317" t="s">
        <v>1173</v>
      </c>
      <c r="E448" s="317" t="s">
        <v>1173</v>
      </c>
      <c r="F448" s="312">
        <v>11177853</v>
      </c>
      <c r="G448" s="312">
        <v>11177853</v>
      </c>
      <c r="H448" s="123" t="str">
        <f t="shared" si="7"/>
        <v>0707</v>
      </c>
    </row>
    <row r="449" spans="1:8" ht="25.5">
      <c r="A449" s="316" t="s">
        <v>466</v>
      </c>
      <c r="B449" s="317" t="s">
        <v>230</v>
      </c>
      <c r="C449" s="317" t="s">
        <v>365</v>
      </c>
      <c r="D449" s="317" t="s">
        <v>985</v>
      </c>
      <c r="E449" s="317" t="s">
        <v>1173</v>
      </c>
      <c r="F449" s="312">
        <v>11177853</v>
      </c>
      <c r="G449" s="312">
        <v>11177853</v>
      </c>
      <c r="H449" s="123" t="str">
        <f t="shared" si="7"/>
        <v>07070600000000</v>
      </c>
    </row>
    <row r="450" spans="1:8" ht="38.25">
      <c r="A450" s="316" t="s">
        <v>467</v>
      </c>
      <c r="B450" s="317" t="s">
        <v>230</v>
      </c>
      <c r="C450" s="317" t="s">
        <v>365</v>
      </c>
      <c r="D450" s="317" t="s">
        <v>986</v>
      </c>
      <c r="E450" s="317" t="s">
        <v>1173</v>
      </c>
      <c r="F450" s="312">
        <v>1364670</v>
      </c>
      <c r="G450" s="312">
        <v>1364670</v>
      </c>
      <c r="H450" s="123" t="str">
        <f t="shared" si="7"/>
        <v>07070610000000</v>
      </c>
    </row>
    <row r="451" spans="1:8" ht="89.25">
      <c r="A451" s="316" t="s">
        <v>1952</v>
      </c>
      <c r="B451" s="317" t="s">
        <v>230</v>
      </c>
      <c r="C451" s="317" t="s">
        <v>365</v>
      </c>
      <c r="D451" s="317" t="s">
        <v>1953</v>
      </c>
      <c r="E451" s="317" t="s">
        <v>1173</v>
      </c>
      <c r="F451" s="312">
        <v>511750</v>
      </c>
      <c r="G451" s="312">
        <v>511750</v>
      </c>
      <c r="H451" s="123" t="str">
        <f t="shared" si="7"/>
        <v>07070610080010</v>
      </c>
    </row>
    <row r="452" spans="1:8" ht="38.25">
      <c r="A452" s="316" t="s">
        <v>1327</v>
      </c>
      <c r="B452" s="317" t="s">
        <v>230</v>
      </c>
      <c r="C452" s="317" t="s">
        <v>365</v>
      </c>
      <c r="D452" s="317" t="s">
        <v>1953</v>
      </c>
      <c r="E452" s="317" t="s">
        <v>1328</v>
      </c>
      <c r="F452" s="312">
        <v>511750</v>
      </c>
      <c r="G452" s="312">
        <v>511750</v>
      </c>
      <c r="H452" s="123" t="str">
        <f t="shared" si="7"/>
        <v>07070610080010600</v>
      </c>
    </row>
    <row r="453" spans="1:8">
      <c r="A453" s="316" t="s">
        <v>1198</v>
      </c>
      <c r="B453" s="317" t="s">
        <v>230</v>
      </c>
      <c r="C453" s="317" t="s">
        <v>365</v>
      </c>
      <c r="D453" s="317" t="s">
        <v>1953</v>
      </c>
      <c r="E453" s="317" t="s">
        <v>1199</v>
      </c>
      <c r="F453" s="312">
        <v>511750</v>
      </c>
      <c r="G453" s="312">
        <v>511750</v>
      </c>
      <c r="H453" s="123" t="str">
        <f t="shared" si="7"/>
        <v>07070610080010610</v>
      </c>
    </row>
    <row r="454" spans="1:8" ht="76.5">
      <c r="A454" s="316" t="s">
        <v>347</v>
      </c>
      <c r="B454" s="317" t="s">
        <v>230</v>
      </c>
      <c r="C454" s="317" t="s">
        <v>365</v>
      </c>
      <c r="D454" s="317" t="s">
        <v>1953</v>
      </c>
      <c r="E454" s="317" t="s">
        <v>348</v>
      </c>
      <c r="F454" s="312">
        <v>511750</v>
      </c>
      <c r="G454" s="312">
        <v>511750</v>
      </c>
      <c r="H454" s="123" t="str">
        <f t="shared" si="7"/>
        <v>07070610080010611</v>
      </c>
    </row>
    <row r="455" spans="1:8" ht="76.5">
      <c r="A455" s="316" t="s">
        <v>1515</v>
      </c>
      <c r="B455" s="317" t="s">
        <v>230</v>
      </c>
      <c r="C455" s="317" t="s">
        <v>365</v>
      </c>
      <c r="D455" s="317" t="s">
        <v>682</v>
      </c>
      <c r="E455" s="317" t="s">
        <v>1173</v>
      </c>
      <c r="F455" s="312">
        <v>852920</v>
      </c>
      <c r="G455" s="312">
        <v>852920</v>
      </c>
      <c r="H455" s="123" t="str">
        <f t="shared" si="7"/>
        <v>070706100S4560</v>
      </c>
    </row>
    <row r="456" spans="1:8" ht="185.25" customHeight="1">
      <c r="A456" s="316" t="s">
        <v>1327</v>
      </c>
      <c r="B456" s="317" t="s">
        <v>230</v>
      </c>
      <c r="C456" s="317" t="s">
        <v>365</v>
      </c>
      <c r="D456" s="317" t="s">
        <v>682</v>
      </c>
      <c r="E456" s="317" t="s">
        <v>1328</v>
      </c>
      <c r="F456" s="312">
        <v>852920</v>
      </c>
      <c r="G456" s="312">
        <v>852920</v>
      </c>
      <c r="H456" s="123" t="str">
        <f t="shared" si="7"/>
        <v>070706100S4560600</v>
      </c>
    </row>
    <row r="457" spans="1:8">
      <c r="A457" s="316" t="s">
        <v>1198</v>
      </c>
      <c r="B457" s="317" t="s">
        <v>230</v>
      </c>
      <c r="C457" s="317" t="s">
        <v>365</v>
      </c>
      <c r="D457" s="317" t="s">
        <v>682</v>
      </c>
      <c r="E457" s="317" t="s">
        <v>1199</v>
      </c>
      <c r="F457" s="312">
        <v>852920</v>
      </c>
      <c r="G457" s="312">
        <v>852920</v>
      </c>
      <c r="H457" s="123" t="str">
        <f t="shared" si="7"/>
        <v>070706100S4560610</v>
      </c>
    </row>
    <row r="458" spans="1:8" ht="186.75" customHeight="1">
      <c r="A458" s="316" t="s">
        <v>347</v>
      </c>
      <c r="B458" s="317" t="s">
        <v>230</v>
      </c>
      <c r="C458" s="317" t="s">
        <v>365</v>
      </c>
      <c r="D458" s="317" t="s">
        <v>682</v>
      </c>
      <c r="E458" s="317" t="s">
        <v>348</v>
      </c>
      <c r="F458" s="312">
        <v>852920</v>
      </c>
      <c r="G458" s="312">
        <v>852920</v>
      </c>
      <c r="H458" s="123" t="str">
        <f t="shared" si="7"/>
        <v>070706100S4560611</v>
      </c>
    </row>
    <row r="459" spans="1:8" ht="38.25">
      <c r="A459" s="316" t="s">
        <v>469</v>
      </c>
      <c r="B459" s="317" t="s">
        <v>230</v>
      </c>
      <c r="C459" s="317" t="s">
        <v>365</v>
      </c>
      <c r="D459" s="317" t="s">
        <v>1954</v>
      </c>
      <c r="E459" s="317" t="s">
        <v>1173</v>
      </c>
      <c r="F459" s="312">
        <v>225100</v>
      </c>
      <c r="G459" s="312">
        <v>225100</v>
      </c>
      <c r="H459" s="123" t="str">
        <f t="shared" si="7"/>
        <v>07070620000000</v>
      </c>
    </row>
    <row r="460" spans="1:8" ht="63.75">
      <c r="A460" s="316" t="s">
        <v>369</v>
      </c>
      <c r="B460" s="317" t="s">
        <v>230</v>
      </c>
      <c r="C460" s="317" t="s">
        <v>365</v>
      </c>
      <c r="D460" s="317" t="s">
        <v>683</v>
      </c>
      <c r="E460" s="317" t="s">
        <v>1173</v>
      </c>
      <c r="F460" s="312">
        <v>205100</v>
      </c>
      <c r="G460" s="312">
        <v>205100</v>
      </c>
      <c r="H460" s="123" t="str">
        <f t="shared" si="7"/>
        <v>07070620080000</v>
      </c>
    </row>
    <row r="461" spans="1:8" ht="38.25">
      <c r="A461" s="316" t="s">
        <v>1327</v>
      </c>
      <c r="B461" s="317" t="s">
        <v>230</v>
      </c>
      <c r="C461" s="317" t="s">
        <v>365</v>
      </c>
      <c r="D461" s="317" t="s">
        <v>683</v>
      </c>
      <c r="E461" s="317" t="s">
        <v>1328</v>
      </c>
      <c r="F461" s="312">
        <v>205100</v>
      </c>
      <c r="G461" s="312">
        <v>205100</v>
      </c>
      <c r="H461" s="123" t="str">
        <f t="shared" si="7"/>
        <v>07070620080000600</v>
      </c>
    </row>
    <row r="462" spans="1:8">
      <c r="A462" s="316" t="s">
        <v>1198</v>
      </c>
      <c r="B462" s="317" t="s">
        <v>230</v>
      </c>
      <c r="C462" s="317" t="s">
        <v>365</v>
      </c>
      <c r="D462" s="317" t="s">
        <v>683</v>
      </c>
      <c r="E462" s="317" t="s">
        <v>1199</v>
      </c>
      <c r="F462" s="312">
        <v>205100</v>
      </c>
      <c r="G462" s="312">
        <v>205100</v>
      </c>
      <c r="H462" s="123" t="str">
        <f t="shared" si="7"/>
        <v>07070620080000610</v>
      </c>
    </row>
    <row r="463" spans="1:8" ht="76.5">
      <c r="A463" s="316" t="s">
        <v>347</v>
      </c>
      <c r="B463" s="317" t="s">
        <v>230</v>
      </c>
      <c r="C463" s="317" t="s">
        <v>365</v>
      </c>
      <c r="D463" s="317" t="s">
        <v>683</v>
      </c>
      <c r="E463" s="317" t="s">
        <v>348</v>
      </c>
      <c r="F463" s="312">
        <v>205100</v>
      </c>
      <c r="G463" s="312">
        <v>205100</v>
      </c>
      <c r="H463" s="123" t="str">
        <f t="shared" si="7"/>
        <v>07070620080000611</v>
      </c>
    </row>
    <row r="464" spans="1:8" ht="102">
      <c r="A464" s="316" t="s">
        <v>1517</v>
      </c>
      <c r="B464" s="317" t="s">
        <v>230</v>
      </c>
      <c r="C464" s="317" t="s">
        <v>365</v>
      </c>
      <c r="D464" s="317" t="s">
        <v>1504</v>
      </c>
      <c r="E464" s="317" t="s">
        <v>1173</v>
      </c>
      <c r="F464" s="312">
        <v>20000</v>
      </c>
      <c r="G464" s="312">
        <v>20000</v>
      </c>
      <c r="H464" s="123" t="str">
        <f t="shared" si="7"/>
        <v>070706200S4540</v>
      </c>
    </row>
    <row r="465" spans="1:8" ht="38.25">
      <c r="A465" s="316" t="s">
        <v>1327</v>
      </c>
      <c r="B465" s="317" t="s">
        <v>230</v>
      </c>
      <c r="C465" s="317" t="s">
        <v>365</v>
      </c>
      <c r="D465" s="317" t="s">
        <v>1504</v>
      </c>
      <c r="E465" s="317" t="s">
        <v>1328</v>
      </c>
      <c r="F465" s="312">
        <v>20000</v>
      </c>
      <c r="G465" s="312">
        <v>20000</v>
      </c>
      <c r="H465" s="123" t="str">
        <f t="shared" si="7"/>
        <v>070706200S4540600</v>
      </c>
    </row>
    <row r="466" spans="1:8">
      <c r="A466" s="316" t="s">
        <v>1198</v>
      </c>
      <c r="B466" s="317" t="s">
        <v>230</v>
      </c>
      <c r="C466" s="317" t="s">
        <v>365</v>
      </c>
      <c r="D466" s="317" t="s">
        <v>1504</v>
      </c>
      <c r="E466" s="317" t="s">
        <v>1199</v>
      </c>
      <c r="F466" s="312">
        <v>20000</v>
      </c>
      <c r="G466" s="312">
        <v>20000</v>
      </c>
      <c r="H466" s="123" t="str">
        <f t="shared" si="7"/>
        <v>070706200S4540610</v>
      </c>
    </row>
    <row r="467" spans="1:8" ht="76.5">
      <c r="A467" s="316" t="s">
        <v>347</v>
      </c>
      <c r="B467" s="317" t="s">
        <v>230</v>
      </c>
      <c r="C467" s="317" t="s">
        <v>365</v>
      </c>
      <c r="D467" s="317" t="s">
        <v>1504</v>
      </c>
      <c r="E467" s="317" t="s">
        <v>348</v>
      </c>
      <c r="F467" s="312">
        <v>20000</v>
      </c>
      <c r="G467" s="312">
        <v>20000</v>
      </c>
      <c r="H467" s="123" t="str">
        <f t="shared" si="7"/>
        <v>070706200S4540611</v>
      </c>
    </row>
    <row r="468" spans="1:8" ht="38.25">
      <c r="A468" s="316" t="s">
        <v>447</v>
      </c>
      <c r="B468" s="317" t="s">
        <v>230</v>
      </c>
      <c r="C468" s="317" t="s">
        <v>365</v>
      </c>
      <c r="D468" s="317" t="s">
        <v>987</v>
      </c>
      <c r="E468" s="317" t="s">
        <v>1173</v>
      </c>
      <c r="F468" s="312">
        <v>9512583</v>
      </c>
      <c r="G468" s="312">
        <v>9512583</v>
      </c>
      <c r="H468" s="123" t="str">
        <f t="shared" si="7"/>
        <v>07070640000000</v>
      </c>
    </row>
    <row r="469" spans="1:8" ht="127.5">
      <c r="A469" s="316" t="s">
        <v>371</v>
      </c>
      <c r="B469" s="317" t="s">
        <v>230</v>
      </c>
      <c r="C469" s="317" t="s">
        <v>365</v>
      </c>
      <c r="D469" s="317" t="s">
        <v>685</v>
      </c>
      <c r="E469" s="317" t="s">
        <v>1173</v>
      </c>
      <c r="F469" s="312">
        <v>6673583</v>
      </c>
      <c r="G469" s="312">
        <v>6673583</v>
      </c>
      <c r="H469" s="123" t="str">
        <f t="shared" si="7"/>
        <v>07070640040000</v>
      </c>
    </row>
    <row r="470" spans="1:8" ht="38.25">
      <c r="A470" s="316" t="s">
        <v>1327</v>
      </c>
      <c r="B470" s="317" t="s">
        <v>230</v>
      </c>
      <c r="C470" s="317" t="s">
        <v>365</v>
      </c>
      <c r="D470" s="317" t="s">
        <v>685</v>
      </c>
      <c r="E470" s="317" t="s">
        <v>1328</v>
      </c>
      <c r="F470" s="312">
        <v>6673583</v>
      </c>
      <c r="G470" s="312">
        <v>6673583</v>
      </c>
      <c r="H470" s="123" t="str">
        <f t="shared" si="7"/>
        <v>07070640040000600</v>
      </c>
    </row>
    <row r="471" spans="1:8">
      <c r="A471" s="316" t="s">
        <v>1198</v>
      </c>
      <c r="B471" s="317" t="s">
        <v>230</v>
      </c>
      <c r="C471" s="317" t="s">
        <v>365</v>
      </c>
      <c r="D471" s="317" t="s">
        <v>685</v>
      </c>
      <c r="E471" s="317" t="s">
        <v>1199</v>
      </c>
      <c r="F471" s="312">
        <v>6673583</v>
      </c>
      <c r="G471" s="312">
        <v>6673583</v>
      </c>
      <c r="H471" s="123" t="str">
        <f t="shared" si="7"/>
        <v>07070640040000610</v>
      </c>
    </row>
    <row r="472" spans="1:8" ht="76.5">
      <c r="A472" s="316" t="s">
        <v>347</v>
      </c>
      <c r="B472" s="317" t="s">
        <v>230</v>
      </c>
      <c r="C472" s="317" t="s">
        <v>365</v>
      </c>
      <c r="D472" s="317" t="s">
        <v>685</v>
      </c>
      <c r="E472" s="317" t="s">
        <v>348</v>
      </c>
      <c r="F472" s="312">
        <v>6673583</v>
      </c>
      <c r="G472" s="312">
        <v>6673583</v>
      </c>
      <c r="H472" s="123" t="str">
        <f t="shared" si="7"/>
        <v>07070640040000611</v>
      </c>
    </row>
    <row r="473" spans="1:8" ht="165.75">
      <c r="A473" s="316" t="s">
        <v>372</v>
      </c>
      <c r="B473" s="317" t="s">
        <v>230</v>
      </c>
      <c r="C473" s="317" t="s">
        <v>365</v>
      </c>
      <c r="D473" s="317" t="s">
        <v>686</v>
      </c>
      <c r="E473" s="317" t="s">
        <v>1173</v>
      </c>
      <c r="F473" s="312">
        <v>1200000</v>
      </c>
      <c r="G473" s="312">
        <v>1200000</v>
      </c>
      <c r="H473" s="123" t="str">
        <f t="shared" si="7"/>
        <v>07070640041000</v>
      </c>
    </row>
    <row r="474" spans="1:8" ht="38.25">
      <c r="A474" s="316" t="s">
        <v>1327</v>
      </c>
      <c r="B474" s="317" t="s">
        <v>230</v>
      </c>
      <c r="C474" s="317" t="s">
        <v>365</v>
      </c>
      <c r="D474" s="317" t="s">
        <v>686</v>
      </c>
      <c r="E474" s="317" t="s">
        <v>1328</v>
      </c>
      <c r="F474" s="312">
        <v>1200000</v>
      </c>
      <c r="G474" s="312">
        <v>1200000</v>
      </c>
      <c r="H474" s="123" t="str">
        <f t="shared" si="7"/>
        <v>07070640041000600</v>
      </c>
    </row>
    <row r="475" spans="1:8">
      <c r="A475" s="316" t="s">
        <v>1198</v>
      </c>
      <c r="B475" s="317" t="s">
        <v>230</v>
      </c>
      <c r="C475" s="317" t="s">
        <v>365</v>
      </c>
      <c r="D475" s="317" t="s">
        <v>686</v>
      </c>
      <c r="E475" s="317" t="s">
        <v>1199</v>
      </c>
      <c r="F475" s="312">
        <v>1200000</v>
      </c>
      <c r="G475" s="312">
        <v>1200000</v>
      </c>
      <c r="H475" s="123" t="str">
        <f t="shared" si="7"/>
        <v>07070640041000610</v>
      </c>
    </row>
    <row r="476" spans="1:8" ht="76.5">
      <c r="A476" s="316" t="s">
        <v>347</v>
      </c>
      <c r="B476" s="317" t="s">
        <v>230</v>
      </c>
      <c r="C476" s="317" t="s">
        <v>365</v>
      </c>
      <c r="D476" s="317" t="s">
        <v>686</v>
      </c>
      <c r="E476" s="317" t="s">
        <v>348</v>
      </c>
      <c r="F476" s="312">
        <v>1200000</v>
      </c>
      <c r="G476" s="312">
        <v>1200000</v>
      </c>
      <c r="H476" s="123" t="str">
        <f t="shared" si="7"/>
        <v>07070640041000611</v>
      </c>
    </row>
    <row r="477" spans="1:8" ht="127.5">
      <c r="A477" s="316" t="s">
        <v>907</v>
      </c>
      <c r="B477" s="317" t="s">
        <v>230</v>
      </c>
      <c r="C477" s="317" t="s">
        <v>365</v>
      </c>
      <c r="D477" s="317" t="s">
        <v>906</v>
      </c>
      <c r="E477" s="317" t="s">
        <v>1173</v>
      </c>
      <c r="F477" s="312">
        <v>30000</v>
      </c>
      <c r="G477" s="312">
        <v>30000</v>
      </c>
      <c r="H477" s="123" t="str">
        <f t="shared" si="7"/>
        <v>07070640047000</v>
      </c>
    </row>
    <row r="478" spans="1:8" ht="38.25">
      <c r="A478" s="316" t="s">
        <v>1327</v>
      </c>
      <c r="B478" s="317" t="s">
        <v>230</v>
      </c>
      <c r="C478" s="317" t="s">
        <v>365</v>
      </c>
      <c r="D478" s="317" t="s">
        <v>906</v>
      </c>
      <c r="E478" s="317" t="s">
        <v>1328</v>
      </c>
      <c r="F478" s="312">
        <v>30000</v>
      </c>
      <c r="G478" s="312">
        <v>30000</v>
      </c>
      <c r="H478" s="123" t="str">
        <f t="shared" si="7"/>
        <v>07070640047000600</v>
      </c>
    </row>
    <row r="479" spans="1:8">
      <c r="A479" s="316" t="s">
        <v>1198</v>
      </c>
      <c r="B479" s="317" t="s">
        <v>230</v>
      </c>
      <c r="C479" s="317" t="s">
        <v>365</v>
      </c>
      <c r="D479" s="317" t="s">
        <v>906</v>
      </c>
      <c r="E479" s="317" t="s">
        <v>1199</v>
      </c>
      <c r="F479" s="312">
        <v>30000</v>
      </c>
      <c r="G479" s="312">
        <v>30000</v>
      </c>
      <c r="H479" s="123" t="str">
        <f t="shared" si="7"/>
        <v>07070640047000610</v>
      </c>
    </row>
    <row r="480" spans="1:8" ht="25.5">
      <c r="A480" s="316" t="s">
        <v>366</v>
      </c>
      <c r="B480" s="317" t="s">
        <v>230</v>
      </c>
      <c r="C480" s="317" t="s">
        <v>365</v>
      </c>
      <c r="D480" s="317" t="s">
        <v>906</v>
      </c>
      <c r="E480" s="317" t="s">
        <v>367</v>
      </c>
      <c r="F480" s="312">
        <v>30000</v>
      </c>
      <c r="G480" s="312">
        <v>30000</v>
      </c>
      <c r="H480" s="123" t="str">
        <f t="shared" si="7"/>
        <v>07070640047000612</v>
      </c>
    </row>
    <row r="481" spans="1:8" ht="102">
      <c r="A481" s="316" t="s">
        <v>1216</v>
      </c>
      <c r="B481" s="317" t="s">
        <v>230</v>
      </c>
      <c r="C481" s="317" t="s">
        <v>365</v>
      </c>
      <c r="D481" s="317" t="s">
        <v>1217</v>
      </c>
      <c r="E481" s="317" t="s">
        <v>1173</v>
      </c>
      <c r="F481" s="312">
        <v>950000</v>
      </c>
      <c r="G481" s="312">
        <v>950000</v>
      </c>
      <c r="H481" s="123" t="str">
        <f t="shared" si="7"/>
        <v>0707064004Г000</v>
      </c>
    </row>
    <row r="482" spans="1:8" ht="38.25">
      <c r="A482" s="316" t="s">
        <v>1327</v>
      </c>
      <c r="B482" s="317" t="s">
        <v>230</v>
      </c>
      <c r="C482" s="317" t="s">
        <v>365</v>
      </c>
      <c r="D482" s="317" t="s">
        <v>1217</v>
      </c>
      <c r="E482" s="317" t="s">
        <v>1328</v>
      </c>
      <c r="F482" s="312">
        <v>950000</v>
      </c>
      <c r="G482" s="312">
        <v>950000</v>
      </c>
      <c r="H482" s="123" t="str">
        <f t="shared" si="7"/>
        <v>0707064004Г000600</v>
      </c>
    </row>
    <row r="483" spans="1:8">
      <c r="A483" s="316" t="s">
        <v>1198</v>
      </c>
      <c r="B483" s="317" t="s">
        <v>230</v>
      </c>
      <c r="C483" s="317" t="s">
        <v>365</v>
      </c>
      <c r="D483" s="317" t="s">
        <v>1217</v>
      </c>
      <c r="E483" s="317" t="s">
        <v>1199</v>
      </c>
      <c r="F483" s="312">
        <v>950000</v>
      </c>
      <c r="G483" s="312">
        <v>950000</v>
      </c>
      <c r="H483" s="123" t="str">
        <f t="shared" si="7"/>
        <v>0707064004Г000610</v>
      </c>
    </row>
    <row r="484" spans="1:8" ht="76.5">
      <c r="A484" s="316" t="s">
        <v>347</v>
      </c>
      <c r="B484" s="317" t="s">
        <v>230</v>
      </c>
      <c r="C484" s="317" t="s">
        <v>365</v>
      </c>
      <c r="D484" s="317" t="s">
        <v>1217</v>
      </c>
      <c r="E484" s="317" t="s">
        <v>348</v>
      </c>
      <c r="F484" s="312">
        <v>950000</v>
      </c>
      <c r="G484" s="312">
        <v>950000</v>
      </c>
      <c r="H484" s="123" t="str">
        <f t="shared" si="7"/>
        <v>0707064004Г000611</v>
      </c>
    </row>
    <row r="485" spans="1:8" ht="114.75">
      <c r="A485" s="316" t="s">
        <v>1629</v>
      </c>
      <c r="B485" s="317" t="s">
        <v>230</v>
      </c>
      <c r="C485" s="317" t="s">
        <v>365</v>
      </c>
      <c r="D485" s="317" t="s">
        <v>1630</v>
      </c>
      <c r="E485" s="317" t="s">
        <v>1173</v>
      </c>
      <c r="F485" s="312">
        <v>24000</v>
      </c>
      <c r="G485" s="312">
        <v>24000</v>
      </c>
      <c r="H485" s="123" t="str">
        <f t="shared" si="7"/>
        <v>0707064004М000</v>
      </c>
    </row>
    <row r="486" spans="1:8" ht="38.25">
      <c r="A486" s="316" t="s">
        <v>1327</v>
      </c>
      <c r="B486" s="317" t="s">
        <v>230</v>
      </c>
      <c r="C486" s="317" t="s">
        <v>365</v>
      </c>
      <c r="D486" s="317" t="s">
        <v>1630</v>
      </c>
      <c r="E486" s="317" t="s">
        <v>1328</v>
      </c>
      <c r="F486" s="312">
        <v>24000</v>
      </c>
      <c r="G486" s="312">
        <v>24000</v>
      </c>
      <c r="H486" s="123" t="str">
        <f t="shared" si="7"/>
        <v>0707064004М000600</v>
      </c>
    </row>
    <row r="487" spans="1:8">
      <c r="A487" s="316" t="s">
        <v>1198</v>
      </c>
      <c r="B487" s="317" t="s">
        <v>230</v>
      </c>
      <c r="C487" s="317" t="s">
        <v>365</v>
      </c>
      <c r="D487" s="317" t="s">
        <v>1630</v>
      </c>
      <c r="E487" s="317" t="s">
        <v>1199</v>
      </c>
      <c r="F487" s="312">
        <v>24000</v>
      </c>
      <c r="G487" s="312">
        <v>24000</v>
      </c>
      <c r="H487" s="123" t="str">
        <f t="shared" si="7"/>
        <v>0707064004М000610</v>
      </c>
    </row>
    <row r="488" spans="1:8" ht="76.5">
      <c r="A488" s="316" t="s">
        <v>347</v>
      </c>
      <c r="B488" s="317" t="s">
        <v>230</v>
      </c>
      <c r="C488" s="317" t="s">
        <v>365</v>
      </c>
      <c r="D488" s="317" t="s">
        <v>1630</v>
      </c>
      <c r="E488" s="317" t="s">
        <v>348</v>
      </c>
      <c r="F488" s="312">
        <v>24000</v>
      </c>
      <c r="G488" s="312">
        <v>24000</v>
      </c>
      <c r="H488" s="123" t="str">
        <f t="shared" si="7"/>
        <v>0707064004М000611</v>
      </c>
    </row>
    <row r="489" spans="1:8" ht="89.25">
      <c r="A489" s="316" t="s">
        <v>1218</v>
      </c>
      <c r="B489" s="317" t="s">
        <v>230</v>
      </c>
      <c r="C489" s="317" t="s">
        <v>365</v>
      </c>
      <c r="D489" s="317" t="s">
        <v>1219</v>
      </c>
      <c r="E489" s="317" t="s">
        <v>1173</v>
      </c>
      <c r="F489" s="312">
        <v>250000</v>
      </c>
      <c r="G489" s="312">
        <v>250000</v>
      </c>
      <c r="H489" s="123" t="str">
        <f t="shared" si="7"/>
        <v>0707064004Э000</v>
      </c>
    </row>
    <row r="490" spans="1:8" ht="38.25">
      <c r="A490" s="316" t="s">
        <v>1327</v>
      </c>
      <c r="B490" s="317" t="s">
        <v>230</v>
      </c>
      <c r="C490" s="317" t="s">
        <v>365</v>
      </c>
      <c r="D490" s="317" t="s">
        <v>1219</v>
      </c>
      <c r="E490" s="317" t="s">
        <v>1328</v>
      </c>
      <c r="F490" s="312">
        <v>250000</v>
      </c>
      <c r="G490" s="312">
        <v>250000</v>
      </c>
      <c r="H490" s="123" t="str">
        <f t="shared" si="7"/>
        <v>0707064004Э000600</v>
      </c>
    </row>
    <row r="491" spans="1:8">
      <c r="A491" s="316" t="s">
        <v>1198</v>
      </c>
      <c r="B491" s="317" t="s">
        <v>230</v>
      </c>
      <c r="C491" s="317" t="s">
        <v>365</v>
      </c>
      <c r="D491" s="317" t="s">
        <v>1219</v>
      </c>
      <c r="E491" s="317" t="s">
        <v>1199</v>
      </c>
      <c r="F491" s="312">
        <v>250000</v>
      </c>
      <c r="G491" s="312">
        <v>250000</v>
      </c>
      <c r="H491" s="123" t="str">
        <f t="shared" si="7"/>
        <v>0707064004Э000610</v>
      </c>
    </row>
    <row r="492" spans="1:8" ht="76.5">
      <c r="A492" s="316" t="s">
        <v>347</v>
      </c>
      <c r="B492" s="317" t="s">
        <v>230</v>
      </c>
      <c r="C492" s="317" t="s">
        <v>365</v>
      </c>
      <c r="D492" s="317" t="s">
        <v>1219</v>
      </c>
      <c r="E492" s="317" t="s">
        <v>348</v>
      </c>
      <c r="F492" s="312">
        <v>250000</v>
      </c>
      <c r="G492" s="312">
        <v>250000</v>
      </c>
      <c r="H492" s="123" t="str">
        <f t="shared" si="7"/>
        <v>0707064004Э000611</v>
      </c>
    </row>
    <row r="493" spans="1:8" ht="76.5">
      <c r="A493" s="316" t="s">
        <v>370</v>
      </c>
      <c r="B493" s="317" t="s">
        <v>230</v>
      </c>
      <c r="C493" s="317" t="s">
        <v>365</v>
      </c>
      <c r="D493" s="317" t="s">
        <v>1349</v>
      </c>
      <c r="E493" s="317" t="s">
        <v>1173</v>
      </c>
      <c r="F493" s="312">
        <v>385000</v>
      </c>
      <c r="G493" s="312">
        <v>385000</v>
      </c>
      <c r="H493" s="123" t="str">
        <f t="shared" si="7"/>
        <v>070706400S4560</v>
      </c>
    </row>
    <row r="494" spans="1:8" ht="38.25">
      <c r="A494" s="316" t="s">
        <v>1327</v>
      </c>
      <c r="B494" s="317" t="s">
        <v>230</v>
      </c>
      <c r="C494" s="317" t="s">
        <v>365</v>
      </c>
      <c r="D494" s="317" t="s">
        <v>1349</v>
      </c>
      <c r="E494" s="317" t="s">
        <v>1328</v>
      </c>
      <c r="F494" s="312">
        <v>385000</v>
      </c>
      <c r="G494" s="312">
        <v>385000</v>
      </c>
      <c r="H494" s="123" t="str">
        <f t="shared" si="7"/>
        <v>070706400S4560600</v>
      </c>
    </row>
    <row r="495" spans="1:8">
      <c r="A495" s="316" t="s">
        <v>1198</v>
      </c>
      <c r="B495" s="317" t="s">
        <v>230</v>
      </c>
      <c r="C495" s="317" t="s">
        <v>365</v>
      </c>
      <c r="D495" s="317" t="s">
        <v>1349</v>
      </c>
      <c r="E495" s="317" t="s">
        <v>1199</v>
      </c>
      <c r="F495" s="312">
        <v>385000</v>
      </c>
      <c r="G495" s="312">
        <v>385000</v>
      </c>
      <c r="H495" s="123" t="str">
        <f t="shared" si="7"/>
        <v>070706400S4560610</v>
      </c>
    </row>
    <row r="496" spans="1:8" ht="76.5">
      <c r="A496" s="316" t="s">
        <v>347</v>
      </c>
      <c r="B496" s="317" t="s">
        <v>230</v>
      </c>
      <c r="C496" s="317" t="s">
        <v>365</v>
      </c>
      <c r="D496" s="317" t="s">
        <v>1349</v>
      </c>
      <c r="E496" s="317" t="s">
        <v>348</v>
      </c>
      <c r="F496" s="312">
        <v>76000</v>
      </c>
      <c r="G496" s="312">
        <v>76000</v>
      </c>
      <c r="H496" s="123" t="str">
        <f t="shared" ref="H496:H554" si="8">CONCATENATE(C496,,D496,E496)</f>
        <v>070706400S4560611</v>
      </c>
    </row>
    <row r="497" spans="1:8" ht="25.5">
      <c r="A497" s="316" t="s">
        <v>366</v>
      </c>
      <c r="B497" s="317" t="s">
        <v>230</v>
      </c>
      <c r="C497" s="317" t="s">
        <v>365</v>
      </c>
      <c r="D497" s="317" t="s">
        <v>1349</v>
      </c>
      <c r="E497" s="317" t="s">
        <v>367</v>
      </c>
      <c r="F497" s="312">
        <v>309000</v>
      </c>
      <c r="G497" s="312">
        <v>309000</v>
      </c>
      <c r="H497" s="123" t="str">
        <f t="shared" si="8"/>
        <v>070706400S4560612</v>
      </c>
    </row>
    <row r="498" spans="1:8" ht="38.25">
      <c r="A498" s="316" t="s">
        <v>1955</v>
      </c>
      <c r="B498" s="317" t="s">
        <v>230</v>
      </c>
      <c r="C498" s="317" t="s">
        <v>365</v>
      </c>
      <c r="D498" s="317" t="s">
        <v>1956</v>
      </c>
      <c r="E498" s="317" t="s">
        <v>1173</v>
      </c>
      <c r="F498" s="312">
        <v>75500</v>
      </c>
      <c r="G498" s="312">
        <v>75500</v>
      </c>
      <c r="H498" s="123" t="str">
        <f t="shared" si="8"/>
        <v>07070650000000</v>
      </c>
    </row>
    <row r="499" spans="1:8" ht="102">
      <c r="A499" s="316" t="s">
        <v>1957</v>
      </c>
      <c r="B499" s="317" t="s">
        <v>230</v>
      </c>
      <c r="C499" s="317" t="s">
        <v>365</v>
      </c>
      <c r="D499" s="317" t="s">
        <v>1958</v>
      </c>
      <c r="E499" s="317" t="s">
        <v>1173</v>
      </c>
      <c r="F499" s="312">
        <v>45500</v>
      </c>
      <c r="G499" s="312">
        <v>45500</v>
      </c>
      <c r="H499" s="123" t="str">
        <f t="shared" si="8"/>
        <v>07070650080010</v>
      </c>
    </row>
    <row r="500" spans="1:8" ht="38.25">
      <c r="A500" s="316" t="s">
        <v>1327</v>
      </c>
      <c r="B500" s="317" t="s">
        <v>230</v>
      </c>
      <c r="C500" s="317" t="s">
        <v>365</v>
      </c>
      <c r="D500" s="317" t="s">
        <v>1958</v>
      </c>
      <c r="E500" s="317" t="s">
        <v>1328</v>
      </c>
      <c r="F500" s="312">
        <v>45500</v>
      </c>
      <c r="G500" s="312">
        <v>45500</v>
      </c>
      <c r="H500" s="123" t="str">
        <f t="shared" si="8"/>
        <v>07070650080010600</v>
      </c>
    </row>
    <row r="501" spans="1:8">
      <c r="A501" s="316" t="s">
        <v>1198</v>
      </c>
      <c r="B501" s="317" t="s">
        <v>230</v>
      </c>
      <c r="C501" s="317" t="s">
        <v>365</v>
      </c>
      <c r="D501" s="317" t="s">
        <v>1958</v>
      </c>
      <c r="E501" s="317" t="s">
        <v>1199</v>
      </c>
      <c r="F501" s="312">
        <v>45500</v>
      </c>
      <c r="G501" s="312">
        <v>45500</v>
      </c>
      <c r="H501" s="123" t="str">
        <f t="shared" si="8"/>
        <v>07070650080010610</v>
      </c>
    </row>
    <row r="502" spans="1:8" ht="76.5">
      <c r="A502" s="316" t="s">
        <v>347</v>
      </c>
      <c r="B502" s="317" t="s">
        <v>230</v>
      </c>
      <c r="C502" s="317" t="s">
        <v>365</v>
      </c>
      <c r="D502" s="317" t="s">
        <v>1958</v>
      </c>
      <c r="E502" s="317" t="s">
        <v>348</v>
      </c>
      <c r="F502" s="312">
        <v>45500</v>
      </c>
      <c r="G502" s="312">
        <v>45500</v>
      </c>
      <c r="H502" s="123" t="str">
        <f t="shared" si="8"/>
        <v>07070650080010611</v>
      </c>
    </row>
    <row r="503" spans="1:8" ht="89.25">
      <c r="A503" s="316" t="s">
        <v>1959</v>
      </c>
      <c r="B503" s="317" t="s">
        <v>230</v>
      </c>
      <c r="C503" s="317" t="s">
        <v>365</v>
      </c>
      <c r="D503" s="317" t="s">
        <v>1960</v>
      </c>
      <c r="E503" s="317" t="s">
        <v>1173</v>
      </c>
      <c r="F503" s="312">
        <v>30000</v>
      </c>
      <c r="G503" s="312">
        <v>30000</v>
      </c>
      <c r="H503" s="123" t="str">
        <f t="shared" si="8"/>
        <v>07070650080020</v>
      </c>
    </row>
    <row r="504" spans="1:8" ht="38.25">
      <c r="A504" s="316" t="s">
        <v>1327</v>
      </c>
      <c r="B504" s="317" t="s">
        <v>230</v>
      </c>
      <c r="C504" s="317" t="s">
        <v>365</v>
      </c>
      <c r="D504" s="317" t="s">
        <v>1960</v>
      </c>
      <c r="E504" s="317" t="s">
        <v>1328</v>
      </c>
      <c r="F504" s="312">
        <v>30000</v>
      </c>
      <c r="G504" s="312">
        <v>30000</v>
      </c>
      <c r="H504" s="123" t="str">
        <f t="shared" si="8"/>
        <v>07070650080020600</v>
      </c>
    </row>
    <row r="505" spans="1:8">
      <c r="A505" s="316" t="s">
        <v>1198</v>
      </c>
      <c r="B505" s="317" t="s">
        <v>230</v>
      </c>
      <c r="C505" s="317" t="s">
        <v>365</v>
      </c>
      <c r="D505" s="317" t="s">
        <v>1960</v>
      </c>
      <c r="E505" s="317" t="s">
        <v>1199</v>
      </c>
      <c r="F505" s="312">
        <v>30000</v>
      </c>
      <c r="G505" s="312">
        <v>30000</v>
      </c>
      <c r="H505" s="123" t="str">
        <f t="shared" si="8"/>
        <v>07070650080020610</v>
      </c>
    </row>
    <row r="506" spans="1:8" ht="76.5">
      <c r="A506" s="316" t="s">
        <v>347</v>
      </c>
      <c r="B506" s="317" t="s">
        <v>230</v>
      </c>
      <c r="C506" s="317" t="s">
        <v>365</v>
      </c>
      <c r="D506" s="317" t="s">
        <v>1960</v>
      </c>
      <c r="E506" s="317" t="s">
        <v>348</v>
      </c>
      <c r="F506" s="312">
        <v>30000</v>
      </c>
      <c r="G506" s="312">
        <v>30000</v>
      </c>
      <c r="H506" s="123" t="str">
        <f t="shared" si="8"/>
        <v>07070650080020611</v>
      </c>
    </row>
    <row r="507" spans="1:8">
      <c r="A507" s="316" t="s">
        <v>249</v>
      </c>
      <c r="B507" s="317" t="s">
        <v>230</v>
      </c>
      <c r="C507" s="317" t="s">
        <v>1148</v>
      </c>
      <c r="D507" s="317" t="s">
        <v>1173</v>
      </c>
      <c r="E507" s="317" t="s">
        <v>1173</v>
      </c>
      <c r="F507" s="312">
        <v>221802666</v>
      </c>
      <c r="G507" s="312">
        <v>221802666</v>
      </c>
      <c r="H507" s="123" t="str">
        <f t="shared" si="8"/>
        <v>0800</v>
      </c>
    </row>
    <row r="508" spans="1:8">
      <c r="A508" s="316" t="s">
        <v>209</v>
      </c>
      <c r="B508" s="317" t="s">
        <v>230</v>
      </c>
      <c r="C508" s="317" t="s">
        <v>392</v>
      </c>
      <c r="D508" s="317" t="s">
        <v>1173</v>
      </c>
      <c r="E508" s="317" t="s">
        <v>1173</v>
      </c>
      <c r="F508" s="312">
        <v>137112539</v>
      </c>
      <c r="G508" s="312">
        <v>137112539</v>
      </c>
      <c r="H508" s="123" t="str">
        <f t="shared" si="8"/>
        <v>0801</v>
      </c>
    </row>
    <row r="509" spans="1:8" ht="25.5">
      <c r="A509" s="316" t="s">
        <v>461</v>
      </c>
      <c r="B509" s="317" t="s">
        <v>230</v>
      </c>
      <c r="C509" s="317" t="s">
        <v>392</v>
      </c>
      <c r="D509" s="317" t="s">
        <v>981</v>
      </c>
      <c r="E509" s="317" t="s">
        <v>1173</v>
      </c>
      <c r="F509" s="312">
        <v>137012539</v>
      </c>
      <c r="G509" s="312">
        <v>137012539</v>
      </c>
      <c r="H509" s="123" t="str">
        <f t="shared" si="8"/>
        <v>08010500000000</v>
      </c>
    </row>
    <row r="510" spans="1:8">
      <c r="A510" s="316" t="s">
        <v>462</v>
      </c>
      <c r="B510" s="317" t="s">
        <v>230</v>
      </c>
      <c r="C510" s="317" t="s">
        <v>392</v>
      </c>
      <c r="D510" s="317" t="s">
        <v>982</v>
      </c>
      <c r="E510" s="317" t="s">
        <v>1173</v>
      </c>
      <c r="F510" s="312">
        <v>42670871</v>
      </c>
      <c r="G510" s="312">
        <v>42670871</v>
      </c>
      <c r="H510" s="123" t="str">
        <f t="shared" si="8"/>
        <v>08010510000000</v>
      </c>
    </row>
    <row r="511" spans="1:8" ht="114.75">
      <c r="A511" s="316" t="s">
        <v>397</v>
      </c>
      <c r="B511" s="317" t="s">
        <v>230</v>
      </c>
      <c r="C511" s="317" t="s">
        <v>392</v>
      </c>
      <c r="D511" s="317" t="s">
        <v>708</v>
      </c>
      <c r="E511" s="317" t="s">
        <v>1173</v>
      </c>
      <c r="F511" s="312">
        <v>36354974</v>
      </c>
      <c r="G511" s="312">
        <v>36354974</v>
      </c>
      <c r="H511" s="123" t="str">
        <f t="shared" si="8"/>
        <v>08010510040000</v>
      </c>
    </row>
    <row r="512" spans="1:8" ht="38.25">
      <c r="A512" s="316" t="s">
        <v>1327</v>
      </c>
      <c r="B512" s="317" t="s">
        <v>230</v>
      </c>
      <c r="C512" s="317" t="s">
        <v>392</v>
      </c>
      <c r="D512" s="317" t="s">
        <v>708</v>
      </c>
      <c r="E512" s="317" t="s">
        <v>1328</v>
      </c>
      <c r="F512" s="312">
        <v>36354974</v>
      </c>
      <c r="G512" s="312">
        <v>36354974</v>
      </c>
      <c r="H512" s="123" t="str">
        <f t="shared" si="8"/>
        <v>08010510040000600</v>
      </c>
    </row>
    <row r="513" spans="1:8">
      <c r="A513" s="316" t="s">
        <v>1198</v>
      </c>
      <c r="B513" s="317" t="s">
        <v>230</v>
      </c>
      <c r="C513" s="317" t="s">
        <v>392</v>
      </c>
      <c r="D513" s="317" t="s">
        <v>708</v>
      </c>
      <c r="E513" s="317" t="s">
        <v>1199</v>
      </c>
      <c r="F513" s="312">
        <v>36354974</v>
      </c>
      <c r="G513" s="312">
        <v>36354974</v>
      </c>
      <c r="H513" s="123" t="str">
        <f t="shared" si="8"/>
        <v>08010510040000610</v>
      </c>
    </row>
    <row r="514" spans="1:8" ht="76.5">
      <c r="A514" s="316" t="s">
        <v>347</v>
      </c>
      <c r="B514" s="317" t="s">
        <v>230</v>
      </c>
      <c r="C514" s="317" t="s">
        <v>392</v>
      </c>
      <c r="D514" s="317" t="s">
        <v>708</v>
      </c>
      <c r="E514" s="317" t="s">
        <v>348</v>
      </c>
      <c r="F514" s="312">
        <v>36354974</v>
      </c>
      <c r="G514" s="312">
        <v>36354974</v>
      </c>
      <c r="H514" s="123" t="str">
        <f t="shared" si="8"/>
        <v>08010510040000611</v>
      </c>
    </row>
    <row r="515" spans="1:8" ht="153">
      <c r="A515" s="316" t="s">
        <v>398</v>
      </c>
      <c r="B515" s="317" t="s">
        <v>230</v>
      </c>
      <c r="C515" s="317" t="s">
        <v>392</v>
      </c>
      <c r="D515" s="317" t="s">
        <v>709</v>
      </c>
      <c r="E515" s="317" t="s">
        <v>1173</v>
      </c>
      <c r="F515" s="312">
        <v>50000</v>
      </c>
      <c r="G515" s="312">
        <v>50000</v>
      </c>
      <c r="H515" s="123" t="str">
        <f t="shared" si="8"/>
        <v>08010510041000</v>
      </c>
    </row>
    <row r="516" spans="1:8" ht="38.25">
      <c r="A516" s="316" t="s">
        <v>1327</v>
      </c>
      <c r="B516" s="317" t="s">
        <v>230</v>
      </c>
      <c r="C516" s="317" t="s">
        <v>392</v>
      </c>
      <c r="D516" s="317" t="s">
        <v>709</v>
      </c>
      <c r="E516" s="317" t="s">
        <v>1328</v>
      </c>
      <c r="F516" s="312">
        <v>50000</v>
      </c>
      <c r="G516" s="312">
        <v>50000</v>
      </c>
      <c r="H516" s="123" t="str">
        <f t="shared" si="8"/>
        <v>08010510041000600</v>
      </c>
    </row>
    <row r="517" spans="1:8">
      <c r="A517" s="316" t="s">
        <v>1198</v>
      </c>
      <c r="B517" s="317" t="s">
        <v>230</v>
      </c>
      <c r="C517" s="317" t="s">
        <v>392</v>
      </c>
      <c r="D517" s="317" t="s">
        <v>709</v>
      </c>
      <c r="E517" s="317" t="s">
        <v>1199</v>
      </c>
      <c r="F517" s="312">
        <v>50000</v>
      </c>
      <c r="G517" s="312">
        <v>50000</v>
      </c>
      <c r="H517" s="123" t="str">
        <f t="shared" si="8"/>
        <v>08010510041000610</v>
      </c>
    </row>
    <row r="518" spans="1:8" ht="76.5">
      <c r="A518" s="316" t="s">
        <v>347</v>
      </c>
      <c r="B518" s="317" t="s">
        <v>230</v>
      </c>
      <c r="C518" s="317" t="s">
        <v>392</v>
      </c>
      <c r="D518" s="317" t="s">
        <v>709</v>
      </c>
      <c r="E518" s="317" t="s">
        <v>348</v>
      </c>
      <c r="F518" s="312">
        <v>50000</v>
      </c>
      <c r="G518" s="312">
        <v>50000</v>
      </c>
      <c r="H518" s="123" t="str">
        <f t="shared" si="8"/>
        <v>08010510041000611</v>
      </c>
    </row>
    <row r="519" spans="1:8" ht="127.5">
      <c r="A519" s="316" t="s">
        <v>1826</v>
      </c>
      <c r="B519" s="317" t="s">
        <v>230</v>
      </c>
      <c r="C519" s="317" t="s">
        <v>392</v>
      </c>
      <c r="D519" s="317" t="s">
        <v>1827</v>
      </c>
      <c r="E519" s="317" t="s">
        <v>1173</v>
      </c>
      <c r="F519" s="312">
        <v>72747</v>
      </c>
      <c r="G519" s="312">
        <v>72747</v>
      </c>
      <c r="H519" s="123" t="str">
        <f t="shared" si="8"/>
        <v>08010510045000</v>
      </c>
    </row>
    <row r="520" spans="1:8" ht="38.25">
      <c r="A520" s="316" t="s">
        <v>1327</v>
      </c>
      <c r="B520" s="317" t="s">
        <v>230</v>
      </c>
      <c r="C520" s="317" t="s">
        <v>392</v>
      </c>
      <c r="D520" s="317" t="s">
        <v>1827</v>
      </c>
      <c r="E520" s="317" t="s">
        <v>1328</v>
      </c>
      <c r="F520" s="312">
        <v>72747</v>
      </c>
      <c r="G520" s="312">
        <v>72747</v>
      </c>
      <c r="H520" s="123" t="str">
        <f t="shared" si="8"/>
        <v>08010510045000600</v>
      </c>
    </row>
    <row r="521" spans="1:8">
      <c r="A521" s="316" t="s">
        <v>1198</v>
      </c>
      <c r="B521" s="317" t="s">
        <v>230</v>
      </c>
      <c r="C521" s="317" t="s">
        <v>392</v>
      </c>
      <c r="D521" s="317" t="s">
        <v>1827</v>
      </c>
      <c r="E521" s="317" t="s">
        <v>1199</v>
      </c>
      <c r="F521" s="312">
        <v>72747</v>
      </c>
      <c r="G521" s="312">
        <v>72747</v>
      </c>
      <c r="H521" s="123" t="str">
        <f t="shared" si="8"/>
        <v>08010510045000610</v>
      </c>
    </row>
    <row r="522" spans="1:8" ht="76.5">
      <c r="A522" s="316" t="s">
        <v>347</v>
      </c>
      <c r="B522" s="317" t="s">
        <v>230</v>
      </c>
      <c r="C522" s="317" t="s">
        <v>392</v>
      </c>
      <c r="D522" s="317" t="s">
        <v>1827</v>
      </c>
      <c r="E522" s="317" t="s">
        <v>348</v>
      </c>
      <c r="F522" s="312">
        <v>72747</v>
      </c>
      <c r="G522" s="312">
        <v>72747</v>
      </c>
      <c r="H522" s="123" t="str">
        <f t="shared" si="8"/>
        <v>08010510045000611</v>
      </c>
    </row>
    <row r="523" spans="1:8" ht="114.75">
      <c r="A523" s="316" t="s">
        <v>513</v>
      </c>
      <c r="B523" s="317" t="s">
        <v>230</v>
      </c>
      <c r="C523" s="317" t="s">
        <v>392</v>
      </c>
      <c r="D523" s="317" t="s">
        <v>710</v>
      </c>
      <c r="E523" s="317" t="s">
        <v>1173</v>
      </c>
      <c r="F523" s="312">
        <v>226576</v>
      </c>
      <c r="G523" s="312">
        <v>226576</v>
      </c>
      <c r="H523" s="123" t="str">
        <f t="shared" si="8"/>
        <v>08010510047000</v>
      </c>
    </row>
    <row r="524" spans="1:8" ht="38.25">
      <c r="A524" s="316" t="s">
        <v>1327</v>
      </c>
      <c r="B524" s="317" t="s">
        <v>230</v>
      </c>
      <c r="C524" s="317" t="s">
        <v>392</v>
      </c>
      <c r="D524" s="317" t="s">
        <v>710</v>
      </c>
      <c r="E524" s="317" t="s">
        <v>1328</v>
      </c>
      <c r="F524" s="312">
        <v>226576</v>
      </c>
      <c r="G524" s="312">
        <v>226576</v>
      </c>
      <c r="H524" s="123" t="str">
        <f t="shared" si="8"/>
        <v>08010510047000600</v>
      </c>
    </row>
    <row r="525" spans="1:8">
      <c r="A525" s="316" t="s">
        <v>1198</v>
      </c>
      <c r="B525" s="317" t="s">
        <v>230</v>
      </c>
      <c r="C525" s="317" t="s">
        <v>392</v>
      </c>
      <c r="D525" s="317" t="s">
        <v>710</v>
      </c>
      <c r="E525" s="317" t="s">
        <v>1199</v>
      </c>
      <c r="F525" s="312">
        <v>226576</v>
      </c>
      <c r="G525" s="312">
        <v>226576</v>
      </c>
      <c r="H525" s="123" t="str">
        <f t="shared" si="8"/>
        <v>08010510047000610</v>
      </c>
    </row>
    <row r="526" spans="1:8" ht="25.5">
      <c r="A526" s="316" t="s">
        <v>366</v>
      </c>
      <c r="B526" s="317" t="s">
        <v>230</v>
      </c>
      <c r="C526" s="317" t="s">
        <v>392</v>
      </c>
      <c r="D526" s="317" t="s">
        <v>710</v>
      </c>
      <c r="E526" s="317" t="s">
        <v>367</v>
      </c>
      <c r="F526" s="312">
        <v>226576</v>
      </c>
      <c r="G526" s="312">
        <v>226576</v>
      </c>
      <c r="H526" s="123" t="str">
        <f t="shared" si="8"/>
        <v>08010510047000612</v>
      </c>
    </row>
    <row r="527" spans="1:8" ht="114.75">
      <c r="A527" s="316" t="s">
        <v>568</v>
      </c>
      <c r="B527" s="317" t="s">
        <v>230</v>
      </c>
      <c r="C527" s="317" t="s">
        <v>392</v>
      </c>
      <c r="D527" s="317" t="s">
        <v>711</v>
      </c>
      <c r="E527" s="317" t="s">
        <v>1173</v>
      </c>
      <c r="F527" s="312">
        <v>3700000</v>
      </c>
      <c r="G527" s="312">
        <v>3700000</v>
      </c>
      <c r="H527" s="123" t="str">
        <f t="shared" si="8"/>
        <v>0801051004Г000</v>
      </c>
    </row>
    <row r="528" spans="1:8" ht="38.25">
      <c r="A528" s="316" t="s">
        <v>1327</v>
      </c>
      <c r="B528" s="317" t="s">
        <v>230</v>
      </c>
      <c r="C528" s="317" t="s">
        <v>392</v>
      </c>
      <c r="D528" s="317" t="s">
        <v>711</v>
      </c>
      <c r="E528" s="317" t="s">
        <v>1328</v>
      </c>
      <c r="F528" s="312">
        <v>3700000</v>
      </c>
      <c r="G528" s="312">
        <v>3700000</v>
      </c>
      <c r="H528" s="123" t="str">
        <f t="shared" si="8"/>
        <v>0801051004Г000600</v>
      </c>
    </row>
    <row r="529" spans="1:8">
      <c r="A529" s="316" t="s">
        <v>1198</v>
      </c>
      <c r="B529" s="317" t="s">
        <v>230</v>
      </c>
      <c r="C529" s="317" t="s">
        <v>392</v>
      </c>
      <c r="D529" s="317" t="s">
        <v>711</v>
      </c>
      <c r="E529" s="317" t="s">
        <v>1199</v>
      </c>
      <c r="F529" s="312">
        <v>3700000</v>
      </c>
      <c r="G529" s="312">
        <v>3700000</v>
      </c>
      <c r="H529" s="123" t="str">
        <f t="shared" si="8"/>
        <v>0801051004Г000610</v>
      </c>
    </row>
    <row r="530" spans="1:8" ht="76.5">
      <c r="A530" s="316" t="s">
        <v>347</v>
      </c>
      <c r="B530" s="317" t="s">
        <v>230</v>
      </c>
      <c r="C530" s="317" t="s">
        <v>392</v>
      </c>
      <c r="D530" s="317" t="s">
        <v>711</v>
      </c>
      <c r="E530" s="317" t="s">
        <v>348</v>
      </c>
      <c r="F530" s="312">
        <v>3700000</v>
      </c>
      <c r="G530" s="312">
        <v>3700000</v>
      </c>
      <c r="H530" s="123" t="str">
        <f t="shared" si="8"/>
        <v>0801051004Г000611</v>
      </c>
    </row>
    <row r="531" spans="1:8" ht="76.5">
      <c r="A531" s="316" t="s">
        <v>1631</v>
      </c>
      <c r="B531" s="317" t="s">
        <v>230</v>
      </c>
      <c r="C531" s="317" t="s">
        <v>392</v>
      </c>
      <c r="D531" s="317" t="s">
        <v>1632</v>
      </c>
      <c r="E531" s="317" t="s">
        <v>1173</v>
      </c>
      <c r="F531" s="312">
        <v>35200</v>
      </c>
      <c r="G531" s="312">
        <v>35200</v>
      </c>
      <c r="H531" s="123" t="str">
        <f t="shared" si="8"/>
        <v>0801051004М000</v>
      </c>
    </row>
    <row r="532" spans="1:8" ht="38.25">
      <c r="A532" s="316" t="s">
        <v>1327</v>
      </c>
      <c r="B532" s="317" t="s">
        <v>230</v>
      </c>
      <c r="C532" s="317" t="s">
        <v>392</v>
      </c>
      <c r="D532" s="317" t="s">
        <v>1632</v>
      </c>
      <c r="E532" s="317" t="s">
        <v>1328</v>
      </c>
      <c r="F532" s="312">
        <v>35200</v>
      </c>
      <c r="G532" s="312">
        <v>35200</v>
      </c>
      <c r="H532" s="123" t="str">
        <f t="shared" si="8"/>
        <v>0801051004М000600</v>
      </c>
    </row>
    <row r="533" spans="1:8">
      <c r="A533" s="316" t="s">
        <v>1198</v>
      </c>
      <c r="B533" s="317" t="s">
        <v>230</v>
      </c>
      <c r="C533" s="317" t="s">
        <v>392</v>
      </c>
      <c r="D533" s="317" t="s">
        <v>1632</v>
      </c>
      <c r="E533" s="317" t="s">
        <v>1199</v>
      </c>
      <c r="F533" s="312">
        <v>35200</v>
      </c>
      <c r="G533" s="312">
        <v>35200</v>
      </c>
      <c r="H533" s="123" t="str">
        <f t="shared" si="8"/>
        <v>0801051004М000610</v>
      </c>
    </row>
    <row r="534" spans="1:8" ht="76.5">
      <c r="A534" s="316" t="s">
        <v>347</v>
      </c>
      <c r="B534" s="317" t="s">
        <v>230</v>
      </c>
      <c r="C534" s="317" t="s">
        <v>392</v>
      </c>
      <c r="D534" s="317" t="s">
        <v>1632</v>
      </c>
      <c r="E534" s="317" t="s">
        <v>348</v>
      </c>
      <c r="F534" s="312">
        <v>35200</v>
      </c>
      <c r="G534" s="312">
        <v>35200</v>
      </c>
      <c r="H534" s="123" t="str">
        <f t="shared" si="8"/>
        <v>0801051004М000611</v>
      </c>
    </row>
    <row r="535" spans="1:8" ht="102">
      <c r="A535" s="316" t="s">
        <v>958</v>
      </c>
      <c r="B535" s="317" t="s">
        <v>230</v>
      </c>
      <c r="C535" s="317" t="s">
        <v>392</v>
      </c>
      <c r="D535" s="317" t="s">
        <v>959</v>
      </c>
      <c r="E535" s="317" t="s">
        <v>1173</v>
      </c>
      <c r="F535" s="312">
        <v>1300000</v>
      </c>
      <c r="G535" s="312">
        <v>1300000</v>
      </c>
      <c r="H535" s="123" t="str">
        <f t="shared" si="8"/>
        <v>0801051004Э000</v>
      </c>
    </row>
    <row r="536" spans="1:8" ht="38.25">
      <c r="A536" s="316" t="s">
        <v>1327</v>
      </c>
      <c r="B536" s="317" t="s">
        <v>230</v>
      </c>
      <c r="C536" s="317" t="s">
        <v>392</v>
      </c>
      <c r="D536" s="317" t="s">
        <v>959</v>
      </c>
      <c r="E536" s="317" t="s">
        <v>1328</v>
      </c>
      <c r="F536" s="312">
        <v>1300000</v>
      </c>
      <c r="G536" s="312">
        <v>1300000</v>
      </c>
      <c r="H536" s="123" t="str">
        <f t="shared" si="8"/>
        <v>0801051004Э000600</v>
      </c>
    </row>
    <row r="537" spans="1:8">
      <c r="A537" s="316" t="s">
        <v>1198</v>
      </c>
      <c r="B537" s="317" t="s">
        <v>230</v>
      </c>
      <c r="C537" s="317" t="s">
        <v>392</v>
      </c>
      <c r="D537" s="317" t="s">
        <v>959</v>
      </c>
      <c r="E537" s="317" t="s">
        <v>1199</v>
      </c>
      <c r="F537" s="312">
        <v>1300000</v>
      </c>
      <c r="G537" s="312">
        <v>1300000</v>
      </c>
      <c r="H537" s="123" t="str">
        <f t="shared" si="8"/>
        <v>0801051004Э000610</v>
      </c>
    </row>
    <row r="538" spans="1:8" ht="76.5">
      <c r="A538" s="316" t="s">
        <v>347</v>
      </c>
      <c r="B538" s="317" t="s">
        <v>230</v>
      </c>
      <c r="C538" s="317" t="s">
        <v>392</v>
      </c>
      <c r="D538" s="317" t="s">
        <v>959</v>
      </c>
      <c r="E538" s="317" t="s">
        <v>348</v>
      </c>
      <c r="F538" s="312">
        <v>1300000</v>
      </c>
      <c r="G538" s="312">
        <v>1300000</v>
      </c>
      <c r="H538" s="123" t="str">
        <f t="shared" si="8"/>
        <v>0801051004Э000611</v>
      </c>
    </row>
    <row r="539" spans="1:8" ht="63.75">
      <c r="A539" s="316" t="s">
        <v>401</v>
      </c>
      <c r="B539" s="317" t="s">
        <v>230</v>
      </c>
      <c r="C539" s="317" t="s">
        <v>392</v>
      </c>
      <c r="D539" s="317" t="s">
        <v>718</v>
      </c>
      <c r="E539" s="317" t="s">
        <v>1173</v>
      </c>
      <c r="F539" s="312">
        <v>150000</v>
      </c>
      <c r="G539" s="312">
        <v>150000</v>
      </c>
      <c r="H539" s="123" t="str">
        <f t="shared" si="8"/>
        <v>08010510080530</v>
      </c>
    </row>
    <row r="540" spans="1:8" ht="38.25">
      <c r="A540" s="316" t="s">
        <v>1327</v>
      </c>
      <c r="B540" s="317" t="s">
        <v>230</v>
      </c>
      <c r="C540" s="317" t="s">
        <v>392</v>
      </c>
      <c r="D540" s="317" t="s">
        <v>718</v>
      </c>
      <c r="E540" s="317" t="s">
        <v>1328</v>
      </c>
      <c r="F540" s="312">
        <v>150000</v>
      </c>
      <c r="G540" s="312">
        <v>150000</v>
      </c>
      <c r="H540" s="123" t="str">
        <f t="shared" si="8"/>
        <v>08010510080530600</v>
      </c>
    </row>
    <row r="541" spans="1:8">
      <c r="A541" s="316" t="s">
        <v>1198</v>
      </c>
      <c r="B541" s="317" t="s">
        <v>230</v>
      </c>
      <c r="C541" s="317" t="s">
        <v>392</v>
      </c>
      <c r="D541" s="317" t="s">
        <v>718</v>
      </c>
      <c r="E541" s="317" t="s">
        <v>1199</v>
      </c>
      <c r="F541" s="312">
        <v>150000</v>
      </c>
      <c r="G541" s="312">
        <v>150000</v>
      </c>
      <c r="H541" s="123" t="str">
        <f t="shared" si="8"/>
        <v>08010510080530610</v>
      </c>
    </row>
    <row r="542" spans="1:8" ht="25.5">
      <c r="A542" s="316" t="s">
        <v>366</v>
      </c>
      <c r="B542" s="317" t="s">
        <v>230</v>
      </c>
      <c r="C542" s="317" t="s">
        <v>392</v>
      </c>
      <c r="D542" s="317" t="s">
        <v>718</v>
      </c>
      <c r="E542" s="317" t="s">
        <v>367</v>
      </c>
      <c r="F542" s="312">
        <v>150000</v>
      </c>
      <c r="G542" s="312">
        <v>150000</v>
      </c>
      <c r="H542" s="123" t="str">
        <f t="shared" si="8"/>
        <v>08010510080530612</v>
      </c>
    </row>
    <row r="543" spans="1:8" ht="89.25">
      <c r="A543" s="316" t="s">
        <v>2066</v>
      </c>
      <c r="B543" s="317" t="s">
        <v>230</v>
      </c>
      <c r="C543" s="317" t="s">
        <v>392</v>
      </c>
      <c r="D543" s="317" t="s">
        <v>2067</v>
      </c>
      <c r="E543" s="317" t="s">
        <v>1173</v>
      </c>
      <c r="F543" s="312">
        <v>342424</v>
      </c>
      <c r="G543" s="312">
        <v>342424</v>
      </c>
      <c r="H543" s="123" t="str">
        <f t="shared" si="8"/>
        <v>080105100L5191</v>
      </c>
    </row>
    <row r="544" spans="1:8" ht="38.25">
      <c r="A544" s="316" t="s">
        <v>1327</v>
      </c>
      <c r="B544" s="317" t="s">
        <v>230</v>
      </c>
      <c r="C544" s="317" t="s">
        <v>392</v>
      </c>
      <c r="D544" s="317" t="s">
        <v>2067</v>
      </c>
      <c r="E544" s="317" t="s">
        <v>1328</v>
      </c>
      <c r="F544" s="312">
        <v>342424</v>
      </c>
      <c r="G544" s="312">
        <v>342424</v>
      </c>
      <c r="H544" s="123" t="str">
        <f t="shared" si="8"/>
        <v>080105100L5191600</v>
      </c>
    </row>
    <row r="545" spans="1:8">
      <c r="A545" s="316" t="s">
        <v>1198</v>
      </c>
      <c r="B545" s="317" t="s">
        <v>230</v>
      </c>
      <c r="C545" s="317" t="s">
        <v>392</v>
      </c>
      <c r="D545" s="317" t="s">
        <v>2067</v>
      </c>
      <c r="E545" s="317" t="s">
        <v>1199</v>
      </c>
      <c r="F545" s="312">
        <v>342424</v>
      </c>
      <c r="G545" s="312">
        <v>342424</v>
      </c>
      <c r="H545" s="123" t="str">
        <f t="shared" si="8"/>
        <v>080105100L5191610</v>
      </c>
    </row>
    <row r="546" spans="1:8" ht="25.5">
      <c r="A546" s="316" t="s">
        <v>366</v>
      </c>
      <c r="B546" s="317" t="s">
        <v>230</v>
      </c>
      <c r="C546" s="317" t="s">
        <v>392</v>
      </c>
      <c r="D546" s="317" t="s">
        <v>2067</v>
      </c>
      <c r="E546" s="317" t="s">
        <v>367</v>
      </c>
      <c r="F546" s="312">
        <v>342424</v>
      </c>
      <c r="G546" s="312">
        <v>342424</v>
      </c>
      <c r="H546" s="123" t="str">
        <f t="shared" si="8"/>
        <v>080105100L5191612</v>
      </c>
    </row>
    <row r="547" spans="1:8" ht="63.75">
      <c r="A547" s="316" t="s">
        <v>1502</v>
      </c>
      <c r="B547" s="317" t="s">
        <v>230</v>
      </c>
      <c r="C547" s="317" t="s">
        <v>392</v>
      </c>
      <c r="D547" s="317" t="s">
        <v>712</v>
      </c>
      <c r="E547" s="317" t="s">
        <v>1173</v>
      </c>
      <c r="F547" s="312">
        <v>438950</v>
      </c>
      <c r="G547" s="312">
        <v>438950</v>
      </c>
      <c r="H547" s="123" t="str">
        <f t="shared" si="8"/>
        <v>080105100S4880</v>
      </c>
    </row>
    <row r="548" spans="1:8" ht="38.25">
      <c r="A548" s="316" t="s">
        <v>1327</v>
      </c>
      <c r="B548" s="317" t="s">
        <v>230</v>
      </c>
      <c r="C548" s="317" t="s">
        <v>392</v>
      </c>
      <c r="D548" s="317" t="s">
        <v>712</v>
      </c>
      <c r="E548" s="317" t="s">
        <v>1328</v>
      </c>
      <c r="F548" s="312">
        <v>438950</v>
      </c>
      <c r="G548" s="312">
        <v>438950</v>
      </c>
      <c r="H548" s="123" t="str">
        <f t="shared" si="8"/>
        <v>080105100S4880600</v>
      </c>
    </row>
    <row r="549" spans="1:8">
      <c r="A549" s="316" t="s">
        <v>1198</v>
      </c>
      <c r="B549" s="317" t="s">
        <v>230</v>
      </c>
      <c r="C549" s="317" t="s">
        <v>392</v>
      </c>
      <c r="D549" s="317" t="s">
        <v>712</v>
      </c>
      <c r="E549" s="317" t="s">
        <v>1199</v>
      </c>
      <c r="F549" s="312">
        <v>438950</v>
      </c>
      <c r="G549" s="312">
        <v>438950</v>
      </c>
      <c r="H549" s="123" t="str">
        <f t="shared" si="8"/>
        <v>080105100S4880610</v>
      </c>
    </row>
    <row r="550" spans="1:8" ht="25.5">
      <c r="A550" s="316" t="s">
        <v>366</v>
      </c>
      <c r="B550" s="317" t="s">
        <v>230</v>
      </c>
      <c r="C550" s="317" t="s">
        <v>392</v>
      </c>
      <c r="D550" s="317" t="s">
        <v>712</v>
      </c>
      <c r="E550" s="317" t="s">
        <v>367</v>
      </c>
      <c r="F550" s="312">
        <v>438950</v>
      </c>
      <c r="G550" s="312">
        <v>438950</v>
      </c>
      <c r="H550" s="123" t="str">
        <f t="shared" si="8"/>
        <v>080105100S4880612</v>
      </c>
    </row>
    <row r="551" spans="1:8" ht="25.5">
      <c r="A551" s="316" t="s">
        <v>594</v>
      </c>
      <c r="B551" s="317" t="s">
        <v>230</v>
      </c>
      <c r="C551" s="317" t="s">
        <v>392</v>
      </c>
      <c r="D551" s="317" t="s">
        <v>983</v>
      </c>
      <c r="E551" s="317" t="s">
        <v>1173</v>
      </c>
      <c r="F551" s="312">
        <v>94341668</v>
      </c>
      <c r="G551" s="312">
        <v>94341668</v>
      </c>
      <c r="H551" s="123" t="str">
        <f t="shared" si="8"/>
        <v>08010520000000</v>
      </c>
    </row>
    <row r="552" spans="1:8" ht="114.75">
      <c r="A552" s="316" t="s">
        <v>516</v>
      </c>
      <c r="B552" s="317" t="s">
        <v>230</v>
      </c>
      <c r="C552" s="317" t="s">
        <v>392</v>
      </c>
      <c r="D552" s="317" t="s">
        <v>720</v>
      </c>
      <c r="E552" s="317" t="s">
        <v>1173</v>
      </c>
      <c r="F552" s="312">
        <v>69292273</v>
      </c>
      <c r="G552" s="312">
        <v>69292273</v>
      </c>
      <c r="H552" s="123" t="str">
        <f t="shared" si="8"/>
        <v>08010520040000</v>
      </c>
    </row>
    <row r="553" spans="1:8" ht="38.25">
      <c r="A553" s="316" t="s">
        <v>1327</v>
      </c>
      <c r="B553" s="317" t="s">
        <v>230</v>
      </c>
      <c r="C553" s="317" t="s">
        <v>392</v>
      </c>
      <c r="D553" s="317" t="s">
        <v>720</v>
      </c>
      <c r="E553" s="317" t="s">
        <v>1328</v>
      </c>
      <c r="F553" s="312">
        <v>69292273</v>
      </c>
      <c r="G553" s="312">
        <v>69292273</v>
      </c>
      <c r="H553" s="123" t="str">
        <f t="shared" si="8"/>
        <v>08010520040000600</v>
      </c>
    </row>
    <row r="554" spans="1:8">
      <c r="A554" s="316" t="s">
        <v>1198</v>
      </c>
      <c r="B554" s="317" t="s">
        <v>230</v>
      </c>
      <c r="C554" s="317" t="s">
        <v>392</v>
      </c>
      <c r="D554" s="317" t="s">
        <v>720</v>
      </c>
      <c r="E554" s="317" t="s">
        <v>1199</v>
      </c>
      <c r="F554" s="312">
        <v>69292273</v>
      </c>
      <c r="G554" s="312">
        <v>69292273</v>
      </c>
      <c r="H554" s="123" t="str">
        <f t="shared" si="8"/>
        <v>08010520040000610</v>
      </c>
    </row>
    <row r="555" spans="1:8" ht="76.5">
      <c r="A555" s="316" t="s">
        <v>347</v>
      </c>
      <c r="B555" s="317" t="s">
        <v>230</v>
      </c>
      <c r="C555" s="317" t="s">
        <v>392</v>
      </c>
      <c r="D555" s="317" t="s">
        <v>720</v>
      </c>
      <c r="E555" s="317" t="s">
        <v>348</v>
      </c>
      <c r="F555" s="312">
        <v>69292273</v>
      </c>
      <c r="G555" s="312">
        <v>69292273</v>
      </c>
      <c r="H555" s="123" t="str">
        <f t="shared" ref="H555:H615" si="9">CONCATENATE(C555,,D555,E555)</f>
        <v>08010520040000611</v>
      </c>
    </row>
    <row r="556" spans="1:8" ht="165.75">
      <c r="A556" s="316" t="s">
        <v>517</v>
      </c>
      <c r="B556" s="317" t="s">
        <v>230</v>
      </c>
      <c r="C556" s="317" t="s">
        <v>392</v>
      </c>
      <c r="D556" s="317" t="s">
        <v>721</v>
      </c>
      <c r="E556" s="317" t="s">
        <v>1173</v>
      </c>
      <c r="F556" s="312">
        <v>310000</v>
      </c>
      <c r="G556" s="312">
        <v>310000</v>
      </c>
      <c r="H556" s="123" t="str">
        <f t="shared" si="9"/>
        <v>08010520041000</v>
      </c>
    </row>
    <row r="557" spans="1:8" ht="38.25">
      <c r="A557" s="316" t="s">
        <v>1327</v>
      </c>
      <c r="B557" s="317" t="s">
        <v>230</v>
      </c>
      <c r="C557" s="317" t="s">
        <v>392</v>
      </c>
      <c r="D557" s="317" t="s">
        <v>721</v>
      </c>
      <c r="E557" s="317" t="s">
        <v>1328</v>
      </c>
      <c r="F557" s="312">
        <v>310000</v>
      </c>
      <c r="G557" s="312">
        <v>310000</v>
      </c>
      <c r="H557" s="123" t="str">
        <f t="shared" si="9"/>
        <v>08010520041000600</v>
      </c>
    </row>
    <row r="558" spans="1:8">
      <c r="A558" s="316" t="s">
        <v>1198</v>
      </c>
      <c r="B558" s="317" t="s">
        <v>230</v>
      </c>
      <c r="C558" s="317" t="s">
        <v>392</v>
      </c>
      <c r="D558" s="317" t="s">
        <v>721</v>
      </c>
      <c r="E558" s="317" t="s">
        <v>1199</v>
      </c>
      <c r="F558" s="312">
        <v>310000</v>
      </c>
      <c r="G558" s="312">
        <v>310000</v>
      </c>
      <c r="H558" s="123" t="str">
        <f t="shared" si="9"/>
        <v>08010520041000610</v>
      </c>
    </row>
    <row r="559" spans="1:8" ht="76.5">
      <c r="A559" s="316" t="s">
        <v>347</v>
      </c>
      <c r="B559" s="317" t="s">
        <v>230</v>
      </c>
      <c r="C559" s="317" t="s">
        <v>392</v>
      </c>
      <c r="D559" s="317" t="s">
        <v>721</v>
      </c>
      <c r="E559" s="317" t="s">
        <v>348</v>
      </c>
      <c r="F559" s="312">
        <v>310000</v>
      </c>
      <c r="G559" s="312">
        <v>310000</v>
      </c>
      <c r="H559" s="123" t="str">
        <f t="shared" si="9"/>
        <v>08010520041000611</v>
      </c>
    </row>
    <row r="560" spans="1:8" ht="127.5">
      <c r="A560" s="316" t="s">
        <v>518</v>
      </c>
      <c r="B560" s="317" t="s">
        <v>230</v>
      </c>
      <c r="C560" s="317" t="s">
        <v>392</v>
      </c>
      <c r="D560" s="317" t="s">
        <v>722</v>
      </c>
      <c r="E560" s="317" t="s">
        <v>1173</v>
      </c>
      <c r="F560" s="312">
        <v>309395</v>
      </c>
      <c r="G560" s="312">
        <v>309395</v>
      </c>
      <c r="H560" s="123" t="str">
        <f t="shared" si="9"/>
        <v>08010520045000</v>
      </c>
    </row>
    <row r="561" spans="1:8" ht="38.25">
      <c r="A561" s="316" t="s">
        <v>1327</v>
      </c>
      <c r="B561" s="317" t="s">
        <v>230</v>
      </c>
      <c r="C561" s="317" t="s">
        <v>392</v>
      </c>
      <c r="D561" s="317" t="s">
        <v>722</v>
      </c>
      <c r="E561" s="317" t="s">
        <v>1328</v>
      </c>
      <c r="F561" s="312">
        <v>309395</v>
      </c>
      <c r="G561" s="312">
        <v>309395</v>
      </c>
      <c r="H561" s="123" t="str">
        <f t="shared" si="9"/>
        <v>08010520045000600</v>
      </c>
    </row>
    <row r="562" spans="1:8">
      <c r="A562" s="316" t="s">
        <v>1198</v>
      </c>
      <c r="B562" s="317" t="s">
        <v>230</v>
      </c>
      <c r="C562" s="317" t="s">
        <v>392</v>
      </c>
      <c r="D562" s="317" t="s">
        <v>722</v>
      </c>
      <c r="E562" s="317" t="s">
        <v>1199</v>
      </c>
      <c r="F562" s="312">
        <v>309395</v>
      </c>
      <c r="G562" s="312">
        <v>309395</v>
      </c>
      <c r="H562" s="123" t="str">
        <f t="shared" si="9"/>
        <v>08010520045000610</v>
      </c>
    </row>
    <row r="563" spans="1:8" ht="76.5">
      <c r="A563" s="316" t="s">
        <v>347</v>
      </c>
      <c r="B563" s="317" t="s">
        <v>230</v>
      </c>
      <c r="C563" s="317" t="s">
        <v>392</v>
      </c>
      <c r="D563" s="317" t="s">
        <v>722</v>
      </c>
      <c r="E563" s="317" t="s">
        <v>348</v>
      </c>
      <c r="F563" s="312">
        <v>309395</v>
      </c>
      <c r="G563" s="312">
        <v>309395</v>
      </c>
      <c r="H563" s="123" t="str">
        <f t="shared" si="9"/>
        <v>08010520045000611</v>
      </c>
    </row>
    <row r="564" spans="1:8" ht="114.75">
      <c r="A564" s="316" t="s">
        <v>519</v>
      </c>
      <c r="B564" s="317" t="s">
        <v>230</v>
      </c>
      <c r="C564" s="317" t="s">
        <v>392</v>
      </c>
      <c r="D564" s="317" t="s">
        <v>723</v>
      </c>
      <c r="E564" s="317" t="s">
        <v>1173</v>
      </c>
      <c r="F564" s="312">
        <v>700000</v>
      </c>
      <c r="G564" s="312">
        <v>700000</v>
      </c>
      <c r="H564" s="123" t="str">
        <f t="shared" si="9"/>
        <v>08010520047000</v>
      </c>
    </row>
    <row r="565" spans="1:8" ht="38.25">
      <c r="A565" s="316" t="s">
        <v>1327</v>
      </c>
      <c r="B565" s="317" t="s">
        <v>230</v>
      </c>
      <c r="C565" s="317" t="s">
        <v>392</v>
      </c>
      <c r="D565" s="317" t="s">
        <v>723</v>
      </c>
      <c r="E565" s="317" t="s">
        <v>1328</v>
      </c>
      <c r="F565" s="312">
        <v>700000</v>
      </c>
      <c r="G565" s="312">
        <v>700000</v>
      </c>
      <c r="H565" s="123" t="str">
        <f t="shared" si="9"/>
        <v>08010520047000600</v>
      </c>
    </row>
    <row r="566" spans="1:8">
      <c r="A566" s="316" t="s">
        <v>1198</v>
      </c>
      <c r="B566" s="317" t="s">
        <v>230</v>
      </c>
      <c r="C566" s="317" t="s">
        <v>392</v>
      </c>
      <c r="D566" s="317" t="s">
        <v>723</v>
      </c>
      <c r="E566" s="317" t="s">
        <v>1199</v>
      </c>
      <c r="F566" s="312">
        <v>700000</v>
      </c>
      <c r="G566" s="312">
        <v>700000</v>
      </c>
      <c r="H566" s="123" t="str">
        <f t="shared" si="9"/>
        <v>08010520047000610</v>
      </c>
    </row>
    <row r="567" spans="1:8" ht="25.5">
      <c r="A567" s="316" t="s">
        <v>366</v>
      </c>
      <c r="B567" s="317" t="s">
        <v>230</v>
      </c>
      <c r="C567" s="317" t="s">
        <v>392</v>
      </c>
      <c r="D567" s="317" t="s">
        <v>723</v>
      </c>
      <c r="E567" s="317" t="s">
        <v>367</v>
      </c>
      <c r="F567" s="312">
        <v>700000</v>
      </c>
      <c r="G567" s="312">
        <v>700000</v>
      </c>
      <c r="H567" s="123" t="str">
        <f t="shared" si="9"/>
        <v>08010520047000612</v>
      </c>
    </row>
    <row r="568" spans="1:8" ht="114.75">
      <c r="A568" s="316" t="s">
        <v>570</v>
      </c>
      <c r="B568" s="317" t="s">
        <v>230</v>
      </c>
      <c r="C568" s="317" t="s">
        <v>392</v>
      </c>
      <c r="D568" s="317" t="s">
        <v>724</v>
      </c>
      <c r="E568" s="317" t="s">
        <v>1173</v>
      </c>
      <c r="F568" s="312">
        <v>20000000</v>
      </c>
      <c r="G568" s="312">
        <v>20000000</v>
      </c>
      <c r="H568" s="123" t="str">
        <f t="shared" si="9"/>
        <v>0801052004Г000</v>
      </c>
    </row>
    <row r="569" spans="1:8" ht="38.25">
      <c r="A569" s="316" t="s">
        <v>1327</v>
      </c>
      <c r="B569" s="317" t="s">
        <v>230</v>
      </c>
      <c r="C569" s="317" t="s">
        <v>392</v>
      </c>
      <c r="D569" s="317" t="s">
        <v>724</v>
      </c>
      <c r="E569" s="317" t="s">
        <v>1328</v>
      </c>
      <c r="F569" s="312">
        <v>20000000</v>
      </c>
      <c r="G569" s="312">
        <v>20000000</v>
      </c>
      <c r="H569" s="123" t="str">
        <f t="shared" si="9"/>
        <v>0801052004Г000600</v>
      </c>
    </row>
    <row r="570" spans="1:8">
      <c r="A570" s="316" t="s">
        <v>1198</v>
      </c>
      <c r="B570" s="317" t="s">
        <v>230</v>
      </c>
      <c r="C570" s="317" t="s">
        <v>392</v>
      </c>
      <c r="D570" s="317" t="s">
        <v>724</v>
      </c>
      <c r="E570" s="317" t="s">
        <v>1199</v>
      </c>
      <c r="F570" s="312">
        <v>20000000</v>
      </c>
      <c r="G570" s="312">
        <v>20000000</v>
      </c>
      <c r="H570" s="123" t="str">
        <f t="shared" si="9"/>
        <v>0801052004Г000610</v>
      </c>
    </row>
    <row r="571" spans="1:8" ht="76.5">
      <c r="A571" s="316" t="s">
        <v>347</v>
      </c>
      <c r="B571" s="317" t="s">
        <v>230</v>
      </c>
      <c r="C571" s="317" t="s">
        <v>392</v>
      </c>
      <c r="D571" s="317" t="s">
        <v>724</v>
      </c>
      <c r="E571" s="317" t="s">
        <v>348</v>
      </c>
      <c r="F571" s="312">
        <v>20000000</v>
      </c>
      <c r="G571" s="312">
        <v>20000000</v>
      </c>
      <c r="H571" s="123" t="str">
        <f t="shared" si="9"/>
        <v>0801052004Г000611</v>
      </c>
    </row>
    <row r="572" spans="1:8" ht="76.5">
      <c r="A572" s="316" t="s">
        <v>1633</v>
      </c>
      <c r="B572" s="317" t="s">
        <v>230</v>
      </c>
      <c r="C572" s="317" t="s">
        <v>392</v>
      </c>
      <c r="D572" s="317" t="s">
        <v>1634</v>
      </c>
      <c r="E572" s="317" t="s">
        <v>1173</v>
      </c>
      <c r="F572" s="312">
        <v>380000</v>
      </c>
      <c r="G572" s="312">
        <v>380000</v>
      </c>
      <c r="H572" s="123" t="str">
        <f t="shared" si="9"/>
        <v>0801052004М000</v>
      </c>
    </row>
    <row r="573" spans="1:8" ht="38.25">
      <c r="A573" s="316" t="s">
        <v>1327</v>
      </c>
      <c r="B573" s="317" t="s">
        <v>230</v>
      </c>
      <c r="C573" s="317" t="s">
        <v>392</v>
      </c>
      <c r="D573" s="317" t="s">
        <v>1634</v>
      </c>
      <c r="E573" s="317" t="s">
        <v>1328</v>
      </c>
      <c r="F573" s="312">
        <v>380000</v>
      </c>
      <c r="G573" s="312">
        <v>380000</v>
      </c>
      <c r="H573" s="123" t="str">
        <f t="shared" si="9"/>
        <v>0801052004М000600</v>
      </c>
    </row>
    <row r="574" spans="1:8">
      <c r="A574" s="316" t="s">
        <v>1198</v>
      </c>
      <c r="B574" s="317" t="s">
        <v>230</v>
      </c>
      <c r="C574" s="317" t="s">
        <v>392</v>
      </c>
      <c r="D574" s="317" t="s">
        <v>1634</v>
      </c>
      <c r="E574" s="317" t="s">
        <v>1199</v>
      </c>
      <c r="F574" s="312">
        <v>380000</v>
      </c>
      <c r="G574" s="312">
        <v>380000</v>
      </c>
      <c r="H574" s="123" t="str">
        <f t="shared" si="9"/>
        <v>0801052004М000610</v>
      </c>
    </row>
    <row r="575" spans="1:8" ht="76.5">
      <c r="A575" s="316" t="s">
        <v>347</v>
      </c>
      <c r="B575" s="317" t="s">
        <v>230</v>
      </c>
      <c r="C575" s="317" t="s">
        <v>392</v>
      </c>
      <c r="D575" s="317" t="s">
        <v>1634</v>
      </c>
      <c r="E575" s="317" t="s">
        <v>348</v>
      </c>
      <c r="F575" s="312">
        <v>380000</v>
      </c>
      <c r="G575" s="312">
        <v>380000</v>
      </c>
      <c r="H575" s="123" t="str">
        <f t="shared" si="9"/>
        <v>0801052004М000611</v>
      </c>
    </row>
    <row r="576" spans="1:8" ht="102">
      <c r="A576" s="316" t="s">
        <v>960</v>
      </c>
      <c r="B576" s="317" t="s">
        <v>230</v>
      </c>
      <c r="C576" s="317" t="s">
        <v>392</v>
      </c>
      <c r="D576" s="317" t="s">
        <v>961</v>
      </c>
      <c r="E576" s="317" t="s">
        <v>1173</v>
      </c>
      <c r="F576" s="312">
        <v>3350000</v>
      </c>
      <c r="G576" s="312">
        <v>3350000</v>
      </c>
      <c r="H576" s="123" t="str">
        <f t="shared" si="9"/>
        <v>0801052004Э000</v>
      </c>
    </row>
    <row r="577" spans="1:8" ht="38.25">
      <c r="A577" s="316" t="s">
        <v>1327</v>
      </c>
      <c r="B577" s="317" t="s">
        <v>230</v>
      </c>
      <c r="C577" s="317" t="s">
        <v>392</v>
      </c>
      <c r="D577" s="317" t="s">
        <v>961</v>
      </c>
      <c r="E577" s="317" t="s">
        <v>1328</v>
      </c>
      <c r="F577" s="312">
        <v>3350000</v>
      </c>
      <c r="G577" s="312">
        <v>3350000</v>
      </c>
      <c r="H577" s="123" t="str">
        <f t="shared" si="9"/>
        <v>0801052004Э000600</v>
      </c>
    </row>
    <row r="578" spans="1:8">
      <c r="A578" s="316" t="s">
        <v>1198</v>
      </c>
      <c r="B578" s="317" t="s">
        <v>230</v>
      </c>
      <c r="C578" s="317" t="s">
        <v>392</v>
      </c>
      <c r="D578" s="317" t="s">
        <v>961</v>
      </c>
      <c r="E578" s="317" t="s">
        <v>1199</v>
      </c>
      <c r="F578" s="312">
        <v>3350000</v>
      </c>
      <c r="G578" s="312">
        <v>3350000</v>
      </c>
      <c r="H578" s="123" t="str">
        <f t="shared" si="9"/>
        <v>0801052004Э000610</v>
      </c>
    </row>
    <row r="579" spans="1:8" ht="76.5">
      <c r="A579" s="316" t="s">
        <v>347</v>
      </c>
      <c r="B579" s="317" t="s">
        <v>230</v>
      </c>
      <c r="C579" s="317" t="s">
        <v>392</v>
      </c>
      <c r="D579" s="317" t="s">
        <v>961</v>
      </c>
      <c r="E579" s="317" t="s">
        <v>348</v>
      </c>
      <c r="F579" s="312">
        <v>3350000</v>
      </c>
      <c r="G579" s="312">
        <v>3350000</v>
      </c>
      <c r="H579" s="123" t="str">
        <f t="shared" si="9"/>
        <v>0801052004Э000611</v>
      </c>
    </row>
    <row r="580" spans="1:8" ht="51">
      <c r="A580" s="316" t="s">
        <v>1719</v>
      </c>
      <c r="B580" s="317" t="s">
        <v>230</v>
      </c>
      <c r="C580" s="317" t="s">
        <v>392</v>
      </c>
      <c r="D580" s="317" t="s">
        <v>1720</v>
      </c>
      <c r="E580" s="317" t="s">
        <v>1173</v>
      </c>
      <c r="F580" s="312">
        <v>100000</v>
      </c>
      <c r="G580" s="312">
        <v>100000</v>
      </c>
      <c r="H580" s="123" t="str">
        <f t="shared" si="9"/>
        <v>08011300000000</v>
      </c>
    </row>
    <row r="581" spans="1:8" ht="63.75">
      <c r="A581" s="316" t="s">
        <v>1728</v>
      </c>
      <c r="B581" s="317" t="s">
        <v>230</v>
      </c>
      <c r="C581" s="317" t="s">
        <v>392</v>
      </c>
      <c r="D581" s="317" t="s">
        <v>1729</v>
      </c>
      <c r="E581" s="317" t="s">
        <v>1173</v>
      </c>
      <c r="F581" s="312">
        <v>100000</v>
      </c>
      <c r="G581" s="312">
        <v>100000</v>
      </c>
      <c r="H581" s="123" t="str">
        <f t="shared" si="9"/>
        <v>08011320000000</v>
      </c>
    </row>
    <row r="582" spans="1:8" ht="140.25">
      <c r="A582" s="316" t="s">
        <v>1730</v>
      </c>
      <c r="B582" s="317" t="s">
        <v>230</v>
      </c>
      <c r="C582" s="317" t="s">
        <v>392</v>
      </c>
      <c r="D582" s="317" t="s">
        <v>1731</v>
      </c>
      <c r="E582" s="317" t="s">
        <v>1173</v>
      </c>
      <c r="F582" s="312">
        <v>50000</v>
      </c>
      <c r="G582" s="312">
        <v>50000</v>
      </c>
      <c r="H582" s="123" t="str">
        <f t="shared" si="9"/>
        <v>08011320080020</v>
      </c>
    </row>
    <row r="583" spans="1:8" ht="38.25">
      <c r="A583" s="316" t="s">
        <v>1319</v>
      </c>
      <c r="B583" s="317" t="s">
        <v>230</v>
      </c>
      <c r="C583" s="317" t="s">
        <v>392</v>
      </c>
      <c r="D583" s="317" t="s">
        <v>1731</v>
      </c>
      <c r="E583" s="317" t="s">
        <v>1320</v>
      </c>
      <c r="F583" s="312">
        <v>50000</v>
      </c>
      <c r="G583" s="312">
        <v>50000</v>
      </c>
      <c r="H583" s="123" t="str">
        <f t="shared" si="9"/>
        <v>08011320080020200</v>
      </c>
    </row>
    <row r="584" spans="1:8" ht="38.25">
      <c r="A584" s="316" t="s">
        <v>1196</v>
      </c>
      <c r="B584" s="317" t="s">
        <v>230</v>
      </c>
      <c r="C584" s="317" t="s">
        <v>392</v>
      </c>
      <c r="D584" s="317" t="s">
        <v>1731</v>
      </c>
      <c r="E584" s="317" t="s">
        <v>1197</v>
      </c>
      <c r="F584" s="312">
        <v>50000</v>
      </c>
      <c r="G584" s="312">
        <v>50000</v>
      </c>
      <c r="H584" s="123" t="str">
        <f t="shared" si="9"/>
        <v>08011320080020240</v>
      </c>
    </row>
    <row r="585" spans="1:8">
      <c r="A585" s="316" t="s">
        <v>1223</v>
      </c>
      <c r="B585" s="317" t="s">
        <v>230</v>
      </c>
      <c r="C585" s="317" t="s">
        <v>392</v>
      </c>
      <c r="D585" s="317" t="s">
        <v>1731</v>
      </c>
      <c r="E585" s="317" t="s">
        <v>329</v>
      </c>
      <c r="F585" s="312">
        <v>50000</v>
      </c>
      <c r="G585" s="312">
        <v>50000</v>
      </c>
      <c r="H585" s="123" t="str">
        <f t="shared" si="9"/>
        <v>08011320080020244</v>
      </c>
    </row>
    <row r="586" spans="1:8" ht="153">
      <c r="A586" s="316" t="s">
        <v>1961</v>
      </c>
      <c r="B586" s="317" t="s">
        <v>230</v>
      </c>
      <c r="C586" s="317" t="s">
        <v>392</v>
      </c>
      <c r="D586" s="317" t="s">
        <v>1962</v>
      </c>
      <c r="E586" s="317" t="s">
        <v>1173</v>
      </c>
      <c r="F586" s="312">
        <v>50000</v>
      </c>
      <c r="G586" s="312">
        <v>50000</v>
      </c>
      <c r="H586" s="123" t="str">
        <f t="shared" si="9"/>
        <v>0801132008Ф010</v>
      </c>
    </row>
    <row r="587" spans="1:8" ht="38.25">
      <c r="A587" s="316" t="s">
        <v>1319</v>
      </c>
      <c r="B587" s="317" t="s">
        <v>230</v>
      </c>
      <c r="C587" s="317" t="s">
        <v>392</v>
      </c>
      <c r="D587" s="317" t="s">
        <v>1962</v>
      </c>
      <c r="E587" s="317" t="s">
        <v>1320</v>
      </c>
      <c r="F587" s="312">
        <v>50000</v>
      </c>
      <c r="G587" s="312">
        <v>50000</v>
      </c>
      <c r="H587" s="123" t="str">
        <f t="shared" si="9"/>
        <v>0801132008Ф010200</v>
      </c>
    </row>
    <row r="588" spans="1:8" ht="38.25">
      <c r="A588" s="316" t="s">
        <v>1196</v>
      </c>
      <c r="B588" s="317" t="s">
        <v>230</v>
      </c>
      <c r="C588" s="317" t="s">
        <v>392</v>
      </c>
      <c r="D588" s="317" t="s">
        <v>1962</v>
      </c>
      <c r="E588" s="317" t="s">
        <v>1197</v>
      </c>
      <c r="F588" s="312">
        <v>50000</v>
      </c>
      <c r="G588" s="312">
        <v>50000</v>
      </c>
      <c r="H588" s="123" t="str">
        <f t="shared" si="9"/>
        <v>0801132008Ф010240</v>
      </c>
    </row>
    <row r="589" spans="1:8">
      <c r="A589" s="316" t="s">
        <v>1223</v>
      </c>
      <c r="B589" s="317" t="s">
        <v>230</v>
      </c>
      <c r="C589" s="317" t="s">
        <v>392</v>
      </c>
      <c r="D589" s="317" t="s">
        <v>1962</v>
      </c>
      <c r="E589" s="317" t="s">
        <v>329</v>
      </c>
      <c r="F589" s="312">
        <v>50000</v>
      </c>
      <c r="G589" s="312">
        <v>50000</v>
      </c>
      <c r="H589" s="123" t="str">
        <f t="shared" si="9"/>
        <v>0801132008Ф010244</v>
      </c>
    </row>
    <row r="590" spans="1:8" ht="25.5">
      <c r="A590" s="316" t="s">
        <v>0</v>
      </c>
      <c r="B590" s="317" t="s">
        <v>230</v>
      </c>
      <c r="C590" s="317" t="s">
        <v>402</v>
      </c>
      <c r="D590" s="317" t="s">
        <v>1173</v>
      </c>
      <c r="E590" s="317" t="s">
        <v>1173</v>
      </c>
      <c r="F590" s="312">
        <v>84690127</v>
      </c>
      <c r="G590" s="312">
        <v>84690127</v>
      </c>
      <c r="H590" s="123" t="str">
        <f t="shared" si="9"/>
        <v>0804</v>
      </c>
    </row>
    <row r="591" spans="1:8" ht="25.5">
      <c r="A591" s="316" t="s">
        <v>461</v>
      </c>
      <c r="B591" s="317" t="s">
        <v>230</v>
      </c>
      <c r="C591" s="317" t="s">
        <v>402</v>
      </c>
      <c r="D591" s="317" t="s">
        <v>981</v>
      </c>
      <c r="E591" s="317" t="s">
        <v>1173</v>
      </c>
      <c r="F591" s="312">
        <v>84690127</v>
      </c>
      <c r="G591" s="312">
        <v>84690127</v>
      </c>
      <c r="H591" s="123" t="str">
        <f t="shared" si="9"/>
        <v>08040500000000</v>
      </c>
    </row>
    <row r="592" spans="1:8" ht="38.25">
      <c r="A592" s="316" t="s">
        <v>595</v>
      </c>
      <c r="B592" s="317" t="s">
        <v>230</v>
      </c>
      <c r="C592" s="317" t="s">
        <v>402</v>
      </c>
      <c r="D592" s="317" t="s">
        <v>984</v>
      </c>
      <c r="E592" s="317" t="s">
        <v>1173</v>
      </c>
      <c r="F592" s="312">
        <v>84690127</v>
      </c>
      <c r="G592" s="312">
        <v>84690127</v>
      </c>
      <c r="H592" s="123" t="str">
        <f t="shared" si="9"/>
        <v>08040530000000</v>
      </c>
    </row>
    <row r="593" spans="1:8" ht="127.5">
      <c r="A593" s="316" t="s">
        <v>509</v>
      </c>
      <c r="B593" s="317" t="s">
        <v>230</v>
      </c>
      <c r="C593" s="317" t="s">
        <v>402</v>
      </c>
      <c r="D593" s="317" t="s">
        <v>703</v>
      </c>
      <c r="E593" s="317" t="s">
        <v>1173</v>
      </c>
      <c r="F593" s="312">
        <v>45442027</v>
      </c>
      <c r="G593" s="312">
        <v>45442027</v>
      </c>
      <c r="H593" s="123" t="str">
        <f t="shared" si="9"/>
        <v>08040530040000</v>
      </c>
    </row>
    <row r="594" spans="1:8" ht="76.5">
      <c r="A594" s="316" t="s">
        <v>1318</v>
      </c>
      <c r="B594" s="317" t="s">
        <v>230</v>
      </c>
      <c r="C594" s="317" t="s">
        <v>402</v>
      </c>
      <c r="D594" s="317" t="s">
        <v>703</v>
      </c>
      <c r="E594" s="317" t="s">
        <v>273</v>
      </c>
      <c r="F594" s="312">
        <v>42352824</v>
      </c>
      <c r="G594" s="312">
        <v>42352824</v>
      </c>
      <c r="H594" s="123" t="str">
        <f t="shared" si="9"/>
        <v>08040530040000100</v>
      </c>
    </row>
    <row r="595" spans="1:8" ht="25.5">
      <c r="A595" s="316" t="s">
        <v>1190</v>
      </c>
      <c r="B595" s="317" t="s">
        <v>230</v>
      </c>
      <c r="C595" s="317" t="s">
        <v>402</v>
      </c>
      <c r="D595" s="317" t="s">
        <v>703</v>
      </c>
      <c r="E595" s="317" t="s">
        <v>133</v>
      </c>
      <c r="F595" s="312">
        <v>42352824</v>
      </c>
      <c r="G595" s="312">
        <v>42352824</v>
      </c>
      <c r="H595" s="123" t="str">
        <f t="shared" si="9"/>
        <v>08040530040000110</v>
      </c>
    </row>
    <row r="596" spans="1:8">
      <c r="A596" s="316" t="s">
        <v>1138</v>
      </c>
      <c r="B596" s="317" t="s">
        <v>230</v>
      </c>
      <c r="C596" s="317" t="s">
        <v>402</v>
      </c>
      <c r="D596" s="317" t="s">
        <v>703</v>
      </c>
      <c r="E596" s="317" t="s">
        <v>342</v>
      </c>
      <c r="F596" s="312">
        <v>32465671</v>
      </c>
      <c r="G596" s="312">
        <v>32465671</v>
      </c>
      <c r="H596" s="123" t="str">
        <f t="shared" si="9"/>
        <v>08040530040000111</v>
      </c>
    </row>
    <row r="597" spans="1:8" ht="25.5">
      <c r="A597" s="316" t="s">
        <v>1147</v>
      </c>
      <c r="B597" s="317" t="s">
        <v>230</v>
      </c>
      <c r="C597" s="317" t="s">
        <v>402</v>
      </c>
      <c r="D597" s="317" t="s">
        <v>703</v>
      </c>
      <c r="E597" s="317" t="s">
        <v>391</v>
      </c>
      <c r="F597" s="312">
        <v>131000</v>
      </c>
      <c r="G597" s="312">
        <v>131000</v>
      </c>
      <c r="H597" s="123" t="str">
        <f t="shared" si="9"/>
        <v>08040530040000112</v>
      </c>
    </row>
    <row r="598" spans="1:8" ht="51">
      <c r="A598" s="316" t="s">
        <v>1139</v>
      </c>
      <c r="B598" s="317" t="s">
        <v>230</v>
      </c>
      <c r="C598" s="317" t="s">
        <v>402</v>
      </c>
      <c r="D598" s="317" t="s">
        <v>703</v>
      </c>
      <c r="E598" s="317" t="s">
        <v>1056</v>
      </c>
      <c r="F598" s="312">
        <v>9756153</v>
      </c>
      <c r="G598" s="312">
        <v>9756153</v>
      </c>
      <c r="H598" s="123" t="str">
        <f t="shared" si="9"/>
        <v>08040530040000119</v>
      </c>
    </row>
    <row r="599" spans="1:8" ht="38.25">
      <c r="A599" s="316" t="s">
        <v>1319</v>
      </c>
      <c r="B599" s="317" t="s">
        <v>230</v>
      </c>
      <c r="C599" s="317" t="s">
        <v>402</v>
      </c>
      <c r="D599" s="317" t="s">
        <v>703</v>
      </c>
      <c r="E599" s="317" t="s">
        <v>1320</v>
      </c>
      <c r="F599" s="312">
        <v>3075703</v>
      </c>
      <c r="G599" s="312">
        <v>3075703</v>
      </c>
      <c r="H599" s="123" t="str">
        <f t="shared" si="9"/>
        <v>08040530040000200</v>
      </c>
    </row>
    <row r="600" spans="1:8" ht="38.25">
      <c r="A600" s="316" t="s">
        <v>1196</v>
      </c>
      <c r="B600" s="317" t="s">
        <v>230</v>
      </c>
      <c r="C600" s="317" t="s">
        <v>402</v>
      </c>
      <c r="D600" s="317" t="s">
        <v>703</v>
      </c>
      <c r="E600" s="317" t="s">
        <v>1197</v>
      </c>
      <c r="F600" s="312">
        <v>3075703</v>
      </c>
      <c r="G600" s="312">
        <v>3075703</v>
      </c>
      <c r="H600" s="123" t="str">
        <f t="shared" si="9"/>
        <v>08040530040000240</v>
      </c>
    </row>
    <row r="601" spans="1:8">
      <c r="A601" s="316" t="s">
        <v>1223</v>
      </c>
      <c r="B601" s="317" t="s">
        <v>230</v>
      </c>
      <c r="C601" s="317" t="s">
        <v>402</v>
      </c>
      <c r="D601" s="317" t="s">
        <v>703</v>
      </c>
      <c r="E601" s="317" t="s">
        <v>329</v>
      </c>
      <c r="F601" s="312">
        <v>3075703</v>
      </c>
      <c r="G601" s="312">
        <v>3075703</v>
      </c>
      <c r="H601" s="123" t="str">
        <f t="shared" si="9"/>
        <v>08040530040000244</v>
      </c>
    </row>
    <row r="602" spans="1:8">
      <c r="A602" s="316" t="s">
        <v>1321</v>
      </c>
      <c r="B602" s="317" t="s">
        <v>230</v>
      </c>
      <c r="C602" s="317" t="s">
        <v>402</v>
      </c>
      <c r="D602" s="317" t="s">
        <v>703</v>
      </c>
      <c r="E602" s="317" t="s">
        <v>1322</v>
      </c>
      <c r="F602" s="312">
        <v>13500</v>
      </c>
      <c r="G602" s="312">
        <v>13500</v>
      </c>
      <c r="H602" s="123" t="str">
        <f t="shared" si="9"/>
        <v>08040530040000800</v>
      </c>
    </row>
    <row r="603" spans="1:8">
      <c r="A603" s="316" t="s">
        <v>1201</v>
      </c>
      <c r="B603" s="317" t="s">
        <v>230</v>
      </c>
      <c r="C603" s="317" t="s">
        <v>402</v>
      </c>
      <c r="D603" s="317" t="s">
        <v>703</v>
      </c>
      <c r="E603" s="317" t="s">
        <v>1202</v>
      </c>
      <c r="F603" s="312">
        <v>13500</v>
      </c>
      <c r="G603" s="312">
        <v>13500</v>
      </c>
      <c r="H603" s="123" t="str">
        <f t="shared" si="9"/>
        <v>08040530040000850</v>
      </c>
    </row>
    <row r="604" spans="1:8">
      <c r="A604" s="316" t="s">
        <v>1057</v>
      </c>
      <c r="B604" s="317" t="s">
        <v>230</v>
      </c>
      <c r="C604" s="317" t="s">
        <v>402</v>
      </c>
      <c r="D604" s="317" t="s">
        <v>703</v>
      </c>
      <c r="E604" s="317" t="s">
        <v>1058</v>
      </c>
      <c r="F604" s="312">
        <v>13500</v>
      </c>
      <c r="G604" s="312">
        <v>13500</v>
      </c>
      <c r="H604" s="123" t="str">
        <f t="shared" si="9"/>
        <v>08040530040000853</v>
      </c>
    </row>
    <row r="605" spans="1:8" ht="165.75">
      <c r="A605" s="316" t="s">
        <v>510</v>
      </c>
      <c r="B605" s="317" t="s">
        <v>230</v>
      </c>
      <c r="C605" s="317" t="s">
        <v>402</v>
      </c>
      <c r="D605" s="317" t="s">
        <v>704</v>
      </c>
      <c r="E605" s="317" t="s">
        <v>1173</v>
      </c>
      <c r="F605" s="312">
        <v>37462600</v>
      </c>
      <c r="G605" s="312">
        <v>37462600</v>
      </c>
      <c r="H605" s="123" t="str">
        <f t="shared" si="9"/>
        <v>08040530041000</v>
      </c>
    </row>
    <row r="606" spans="1:8" ht="76.5">
      <c r="A606" s="316" t="s">
        <v>1318</v>
      </c>
      <c r="B606" s="317" t="s">
        <v>230</v>
      </c>
      <c r="C606" s="317" t="s">
        <v>402</v>
      </c>
      <c r="D606" s="317" t="s">
        <v>704</v>
      </c>
      <c r="E606" s="317" t="s">
        <v>273</v>
      </c>
      <c r="F606" s="312">
        <v>37462600</v>
      </c>
      <c r="G606" s="312">
        <v>37462600</v>
      </c>
      <c r="H606" s="123" t="str">
        <f t="shared" si="9"/>
        <v>08040530041000100</v>
      </c>
    </row>
    <row r="607" spans="1:8" ht="25.5">
      <c r="A607" s="316" t="s">
        <v>1190</v>
      </c>
      <c r="B607" s="317" t="s">
        <v>230</v>
      </c>
      <c r="C607" s="317" t="s">
        <v>402</v>
      </c>
      <c r="D607" s="317" t="s">
        <v>704</v>
      </c>
      <c r="E607" s="317" t="s">
        <v>133</v>
      </c>
      <c r="F607" s="312">
        <v>37462600</v>
      </c>
      <c r="G607" s="312">
        <v>37462600</v>
      </c>
      <c r="H607" s="123" t="str">
        <f t="shared" si="9"/>
        <v>08040530041000110</v>
      </c>
    </row>
    <row r="608" spans="1:8">
      <c r="A608" s="316" t="s">
        <v>1138</v>
      </c>
      <c r="B608" s="317" t="s">
        <v>230</v>
      </c>
      <c r="C608" s="317" t="s">
        <v>402</v>
      </c>
      <c r="D608" s="317" t="s">
        <v>704</v>
      </c>
      <c r="E608" s="317" t="s">
        <v>342</v>
      </c>
      <c r="F608" s="312">
        <v>28773118</v>
      </c>
      <c r="G608" s="312">
        <v>28773118</v>
      </c>
      <c r="H608" s="123" t="str">
        <f t="shared" si="9"/>
        <v>08040530041000111</v>
      </c>
    </row>
    <row r="609" spans="1:8" ht="51">
      <c r="A609" s="316" t="s">
        <v>1139</v>
      </c>
      <c r="B609" s="317" t="s">
        <v>230</v>
      </c>
      <c r="C609" s="317" t="s">
        <v>402</v>
      </c>
      <c r="D609" s="317" t="s">
        <v>704</v>
      </c>
      <c r="E609" s="317" t="s">
        <v>1056</v>
      </c>
      <c r="F609" s="312">
        <v>8689482</v>
      </c>
      <c r="G609" s="312">
        <v>8689482</v>
      </c>
      <c r="H609" s="123" t="str">
        <f t="shared" si="9"/>
        <v>08040530041000119</v>
      </c>
    </row>
    <row r="610" spans="1:8" ht="127.5">
      <c r="A610" s="316" t="s">
        <v>511</v>
      </c>
      <c r="B610" s="317" t="s">
        <v>230</v>
      </c>
      <c r="C610" s="317" t="s">
        <v>402</v>
      </c>
      <c r="D610" s="317" t="s">
        <v>706</v>
      </c>
      <c r="E610" s="317" t="s">
        <v>1173</v>
      </c>
      <c r="F610" s="312">
        <v>750000</v>
      </c>
      <c r="G610" s="312">
        <v>750000</v>
      </c>
      <c r="H610" s="123" t="str">
        <f t="shared" si="9"/>
        <v>08040530047000</v>
      </c>
    </row>
    <row r="611" spans="1:8" ht="76.5">
      <c r="A611" s="316" t="s">
        <v>1318</v>
      </c>
      <c r="B611" s="317" t="s">
        <v>230</v>
      </c>
      <c r="C611" s="317" t="s">
        <v>402</v>
      </c>
      <c r="D611" s="317" t="s">
        <v>706</v>
      </c>
      <c r="E611" s="317" t="s">
        <v>273</v>
      </c>
      <c r="F611" s="312">
        <v>750000</v>
      </c>
      <c r="G611" s="312">
        <v>750000</v>
      </c>
      <c r="H611" s="123" t="str">
        <f t="shared" si="9"/>
        <v>08040530047000100</v>
      </c>
    </row>
    <row r="612" spans="1:8" ht="25.5">
      <c r="A612" s="316" t="s">
        <v>1190</v>
      </c>
      <c r="B612" s="317" t="s">
        <v>230</v>
      </c>
      <c r="C612" s="317" t="s">
        <v>402</v>
      </c>
      <c r="D612" s="317" t="s">
        <v>706</v>
      </c>
      <c r="E612" s="317" t="s">
        <v>133</v>
      </c>
      <c r="F612" s="312">
        <v>750000</v>
      </c>
      <c r="G612" s="312">
        <v>750000</v>
      </c>
      <c r="H612" s="123" t="str">
        <f t="shared" si="9"/>
        <v>08040530047000110</v>
      </c>
    </row>
    <row r="613" spans="1:8" ht="25.5">
      <c r="A613" s="316" t="s">
        <v>1147</v>
      </c>
      <c r="B613" s="317" t="s">
        <v>230</v>
      </c>
      <c r="C613" s="317" t="s">
        <v>402</v>
      </c>
      <c r="D613" s="317" t="s">
        <v>706</v>
      </c>
      <c r="E613" s="317" t="s">
        <v>391</v>
      </c>
      <c r="F613" s="312">
        <v>750000</v>
      </c>
      <c r="G613" s="312">
        <v>750000</v>
      </c>
      <c r="H613" s="123" t="str">
        <f t="shared" si="9"/>
        <v>08040530047000112</v>
      </c>
    </row>
    <row r="614" spans="1:8" ht="127.5">
      <c r="A614" s="316" t="s">
        <v>567</v>
      </c>
      <c r="B614" s="317" t="s">
        <v>230</v>
      </c>
      <c r="C614" s="317" t="s">
        <v>402</v>
      </c>
      <c r="D614" s="317" t="s">
        <v>707</v>
      </c>
      <c r="E614" s="317" t="s">
        <v>1173</v>
      </c>
      <c r="F614" s="312">
        <v>612000</v>
      </c>
      <c r="G614" s="312">
        <v>612000</v>
      </c>
      <c r="H614" s="123" t="str">
        <f t="shared" si="9"/>
        <v>0804053004Г000</v>
      </c>
    </row>
    <row r="615" spans="1:8" ht="38.25">
      <c r="A615" s="316" t="s">
        <v>1319</v>
      </c>
      <c r="B615" s="317" t="s">
        <v>230</v>
      </c>
      <c r="C615" s="317" t="s">
        <v>402</v>
      </c>
      <c r="D615" s="317" t="s">
        <v>707</v>
      </c>
      <c r="E615" s="317" t="s">
        <v>1320</v>
      </c>
      <c r="F615" s="312">
        <v>612000</v>
      </c>
      <c r="G615" s="312">
        <v>612000</v>
      </c>
      <c r="H615" s="123" t="str">
        <f t="shared" si="9"/>
        <v>0804053004Г000200</v>
      </c>
    </row>
    <row r="616" spans="1:8" ht="38.25">
      <c r="A616" s="316" t="s">
        <v>1196</v>
      </c>
      <c r="B616" s="317" t="s">
        <v>230</v>
      </c>
      <c r="C616" s="317" t="s">
        <v>402</v>
      </c>
      <c r="D616" s="317" t="s">
        <v>707</v>
      </c>
      <c r="E616" s="317" t="s">
        <v>1197</v>
      </c>
      <c r="F616" s="312">
        <v>612000</v>
      </c>
      <c r="G616" s="312">
        <v>612000</v>
      </c>
      <c r="H616" s="123" t="str">
        <f t="shared" ref="H616:H677" si="10">CONCATENATE(C616,,D616,E616)</f>
        <v>0804053004Г000240</v>
      </c>
    </row>
    <row r="617" spans="1:8">
      <c r="A617" s="316" t="s">
        <v>1223</v>
      </c>
      <c r="B617" s="317" t="s">
        <v>230</v>
      </c>
      <c r="C617" s="317" t="s">
        <v>402</v>
      </c>
      <c r="D617" s="317" t="s">
        <v>707</v>
      </c>
      <c r="E617" s="317" t="s">
        <v>329</v>
      </c>
      <c r="F617" s="312">
        <v>12000</v>
      </c>
      <c r="G617" s="312">
        <v>12000</v>
      </c>
      <c r="H617" s="123" t="str">
        <f t="shared" si="10"/>
        <v>0804053004Г000244</v>
      </c>
    </row>
    <row r="618" spans="1:8">
      <c r="A618" s="316" t="s">
        <v>1699</v>
      </c>
      <c r="B618" s="317" t="s">
        <v>230</v>
      </c>
      <c r="C618" s="317" t="s">
        <v>402</v>
      </c>
      <c r="D618" s="317" t="s">
        <v>707</v>
      </c>
      <c r="E618" s="317" t="s">
        <v>1700</v>
      </c>
      <c r="F618" s="312">
        <v>600000</v>
      </c>
      <c r="G618" s="312">
        <v>600000</v>
      </c>
      <c r="H618" s="123" t="str">
        <f t="shared" si="10"/>
        <v>0804053004Г000247</v>
      </c>
    </row>
    <row r="619" spans="1:8" ht="89.25">
      <c r="A619" s="316" t="s">
        <v>1627</v>
      </c>
      <c r="B619" s="317" t="s">
        <v>230</v>
      </c>
      <c r="C619" s="317" t="s">
        <v>402</v>
      </c>
      <c r="D619" s="317" t="s">
        <v>1628</v>
      </c>
      <c r="E619" s="317" t="s">
        <v>1173</v>
      </c>
      <c r="F619" s="312">
        <v>23500</v>
      </c>
      <c r="G619" s="312">
        <v>23500</v>
      </c>
      <c r="H619" s="123" t="str">
        <f t="shared" si="10"/>
        <v>0804053004М000</v>
      </c>
    </row>
    <row r="620" spans="1:8" ht="38.25">
      <c r="A620" s="316" t="s">
        <v>1319</v>
      </c>
      <c r="B620" s="317" t="s">
        <v>230</v>
      </c>
      <c r="C620" s="317" t="s">
        <v>402</v>
      </c>
      <c r="D620" s="317" t="s">
        <v>1628</v>
      </c>
      <c r="E620" s="317" t="s">
        <v>1320</v>
      </c>
      <c r="F620" s="312">
        <v>23500</v>
      </c>
      <c r="G620" s="312">
        <v>23500</v>
      </c>
      <c r="H620" s="123" t="str">
        <f t="shared" si="10"/>
        <v>0804053004М000200</v>
      </c>
    </row>
    <row r="621" spans="1:8" ht="38.25">
      <c r="A621" s="316" t="s">
        <v>1196</v>
      </c>
      <c r="B621" s="317" t="s">
        <v>230</v>
      </c>
      <c r="C621" s="317" t="s">
        <v>402</v>
      </c>
      <c r="D621" s="317" t="s">
        <v>1628</v>
      </c>
      <c r="E621" s="317" t="s">
        <v>1197</v>
      </c>
      <c r="F621" s="312">
        <v>23500</v>
      </c>
      <c r="G621" s="312">
        <v>23500</v>
      </c>
      <c r="H621" s="123" t="str">
        <f t="shared" si="10"/>
        <v>0804053004М000240</v>
      </c>
    </row>
    <row r="622" spans="1:8">
      <c r="A622" s="316" t="s">
        <v>1223</v>
      </c>
      <c r="B622" s="317" t="s">
        <v>230</v>
      </c>
      <c r="C622" s="317" t="s">
        <v>402</v>
      </c>
      <c r="D622" s="317" t="s">
        <v>1628</v>
      </c>
      <c r="E622" s="317" t="s">
        <v>329</v>
      </c>
      <c r="F622" s="312">
        <v>23500</v>
      </c>
      <c r="G622" s="312">
        <v>23500</v>
      </c>
      <c r="H622" s="123" t="str">
        <f t="shared" si="10"/>
        <v>0804053004М000244</v>
      </c>
    </row>
    <row r="623" spans="1:8" ht="89.25">
      <c r="A623" s="316" t="s">
        <v>1777</v>
      </c>
      <c r="B623" s="317" t="s">
        <v>230</v>
      </c>
      <c r="C623" s="317" t="s">
        <v>402</v>
      </c>
      <c r="D623" s="317" t="s">
        <v>1778</v>
      </c>
      <c r="E623" s="317" t="s">
        <v>1173</v>
      </c>
      <c r="F623" s="312">
        <v>200000</v>
      </c>
      <c r="G623" s="312">
        <v>200000</v>
      </c>
      <c r="H623" s="123" t="str">
        <f t="shared" si="10"/>
        <v>0804053004Ф000</v>
      </c>
    </row>
    <row r="624" spans="1:8" ht="38.25">
      <c r="A624" s="316" t="s">
        <v>1319</v>
      </c>
      <c r="B624" s="317" t="s">
        <v>230</v>
      </c>
      <c r="C624" s="317" t="s">
        <v>402</v>
      </c>
      <c r="D624" s="317" t="s">
        <v>1778</v>
      </c>
      <c r="E624" s="317" t="s">
        <v>1320</v>
      </c>
      <c r="F624" s="312">
        <v>200000</v>
      </c>
      <c r="G624" s="312">
        <v>200000</v>
      </c>
      <c r="H624" s="123" t="str">
        <f t="shared" si="10"/>
        <v>0804053004Ф000200</v>
      </c>
    </row>
    <row r="625" spans="1:8" ht="38.25">
      <c r="A625" s="316" t="s">
        <v>1196</v>
      </c>
      <c r="B625" s="317" t="s">
        <v>230</v>
      </c>
      <c r="C625" s="317" t="s">
        <v>402</v>
      </c>
      <c r="D625" s="317" t="s">
        <v>1778</v>
      </c>
      <c r="E625" s="317" t="s">
        <v>1197</v>
      </c>
      <c r="F625" s="312">
        <v>200000</v>
      </c>
      <c r="G625" s="312">
        <v>200000</v>
      </c>
      <c r="H625" s="123" t="str">
        <f t="shared" si="10"/>
        <v>0804053004Ф000240</v>
      </c>
    </row>
    <row r="626" spans="1:8">
      <c r="A626" s="316" t="s">
        <v>1223</v>
      </c>
      <c r="B626" s="317" t="s">
        <v>230</v>
      </c>
      <c r="C626" s="317" t="s">
        <v>402</v>
      </c>
      <c r="D626" s="317" t="s">
        <v>1778</v>
      </c>
      <c r="E626" s="317" t="s">
        <v>329</v>
      </c>
      <c r="F626" s="312">
        <v>200000</v>
      </c>
      <c r="G626" s="312">
        <v>200000</v>
      </c>
      <c r="H626" s="123" t="str">
        <f t="shared" si="10"/>
        <v>0804053004Ф000244</v>
      </c>
    </row>
    <row r="627" spans="1:8" ht="114.75">
      <c r="A627" s="316" t="s">
        <v>956</v>
      </c>
      <c r="B627" s="317" t="s">
        <v>230</v>
      </c>
      <c r="C627" s="317" t="s">
        <v>402</v>
      </c>
      <c r="D627" s="317" t="s">
        <v>957</v>
      </c>
      <c r="E627" s="317" t="s">
        <v>1173</v>
      </c>
      <c r="F627" s="312">
        <v>200000</v>
      </c>
      <c r="G627" s="312">
        <v>200000</v>
      </c>
      <c r="H627" s="123" t="str">
        <f t="shared" si="10"/>
        <v>0804053004Э000</v>
      </c>
    </row>
    <row r="628" spans="1:8" ht="38.25">
      <c r="A628" s="316" t="s">
        <v>1319</v>
      </c>
      <c r="B628" s="317" t="s">
        <v>230</v>
      </c>
      <c r="C628" s="317" t="s">
        <v>402</v>
      </c>
      <c r="D628" s="317" t="s">
        <v>957</v>
      </c>
      <c r="E628" s="317" t="s">
        <v>1320</v>
      </c>
      <c r="F628" s="312">
        <v>200000</v>
      </c>
      <c r="G628" s="312">
        <v>200000</v>
      </c>
      <c r="H628" s="123" t="str">
        <f t="shared" si="10"/>
        <v>0804053004Э000200</v>
      </c>
    </row>
    <row r="629" spans="1:8" ht="38.25">
      <c r="A629" s="316" t="s">
        <v>1196</v>
      </c>
      <c r="B629" s="317" t="s">
        <v>230</v>
      </c>
      <c r="C629" s="317" t="s">
        <v>402</v>
      </c>
      <c r="D629" s="317" t="s">
        <v>957</v>
      </c>
      <c r="E629" s="317" t="s">
        <v>1197</v>
      </c>
      <c r="F629" s="312">
        <v>200000</v>
      </c>
      <c r="G629" s="312">
        <v>200000</v>
      </c>
      <c r="H629" s="123" t="str">
        <f t="shared" si="10"/>
        <v>0804053004Э000240</v>
      </c>
    </row>
    <row r="630" spans="1:8">
      <c r="A630" s="316" t="s">
        <v>1699</v>
      </c>
      <c r="B630" s="317" t="s">
        <v>230</v>
      </c>
      <c r="C630" s="317" t="s">
        <v>402</v>
      </c>
      <c r="D630" s="317" t="s">
        <v>957</v>
      </c>
      <c r="E630" s="317" t="s">
        <v>1700</v>
      </c>
      <c r="F630" s="312">
        <v>200000</v>
      </c>
      <c r="G630" s="312">
        <v>200000</v>
      </c>
      <c r="H630" s="123" t="str">
        <f t="shared" si="10"/>
        <v>0804053004Э000247</v>
      </c>
    </row>
    <row r="631" spans="1:8">
      <c r="A631" s="316" t="s">
        <v>248</v>
      </c>
      <c r="B631" s="317" t="s">
        <v>230</v>
      </c>
      <c r="C631" s="317" t="s">
        <v>1144</v>
      </c>
      <c r="D631" s="317" t="s">
        <v>1173</v>
      </c>
      <c r="E631" s="317" t="s">
        <v>1173</v>
      </c>
      <c r="F631" s="312">
        <v>18457946</v>
      </c>
      <c r="G631" s="312">
        <v>18457946</v>
      </c>
      <c r="H631" s="123" t="str">
        <f t="shared" si="10"/>
        <v>1100</v>
      </c>
    </row>
    <row r="632" spans="1:8">
      <c r="A632" s="316" t="s">
        <v>1228</v>
      </c>
      <c r="B632" s="317" t="s">
        <v>230</v>
      </c>
      <c r="C632" s="317" t="s">
        <v>1229</v>
      </c>
      <c r="D632" s="317" t="s">
        <v>1173</v>
      </c>
      <c r="E632" s="317" t="s">
        <v>1173</v>
      </c>
      <c r="F632" s="312">
        <v>17770296</v>
      </c>
      <c r="G632" s="312">
        <v>17770296</v>
      </c>
      <c r="H632" s="123" t="str">
        <f t="shared" si="10"/>
        <v>1101</v>
      </c>
    </row>
    <row r="633" spans="1:8" ht="38.25">
      <c r="A633" s="316" t="s">
        <v>1351</v>
      </c>
      <c r="B633" s="317" t="s">
        <v>230</v>
      </c>
      <c r="C633" s="317" t="s">
        <v>1229</v>
      </c>
      <c r="D633" s="317" t="s">
        <v>988</v>
      </c>
      <c r="E633" s="317" t="s">
        <v>1173</v>
      </c>
      <c r="F633" s="312">
        <v>17770296</v>
      </c>
      <c r="G633" s="312">
        <v>17770296</v>
      </c>
      <c r="H633" s="123" t="str">
        <f t="shared" si="10"/>
        <v>11010700000000</v>
      </c>
    </row>
    <row r="634" spans="1:8" ht="25.5">
      <c r="A634" s="316" t="s">
        <v>475</v>
      </c>
      <c r="B634" s="317" t="s">
        <v>230</v>
      </c>
      <c r="C634" s="317" t="s">
        <v>1229</v>
      </c>
      <c r="D634" s="317" t="s">
        <v>989</v>
      </c>
      <c r="E634" s="317" t="s">
        <v>1173</v>
      </c>
      <c r="F634" s="312">
        <v>17770296</v>
      </c>
      <c r="G634" s="312">
        <v>17770296</v>
      </c>
      <c r="H634" s="123" t="str">
        <f t="shared" si="10"/>
        <v>11010710000000</v>
      </c>
    </row>
    <row r="635" spans="1:8" ht="140.25">
      <c r="A635" s="316" t="s">
        <v>1176</v>
      </c>
      <c r="B635" s="317" t="s">
        <v>230</v>
      </c>
      <c r="C635" s="317" t="s">
        <v>1229</v>
      </c>
      <c r="D635" s="317" t="s">
        <v>1177</v>
      </c>
      <c r="E635" s="317" t="s">
        <v>1173</v>
      </c>
      <c r="F635" s="312">
        <v>10904296</v>
      </c>
      <c r="G635" s="312">
        <v>10904296</v>
      </c>
      <c r="H635" s="123" t="str">
        <f t="shared" si="10"/>
        <v>11010710040000</v>
      </c>
    </row>
    <row r="636" spans="1:8" ht="38.25">
      <c r="A636" s="316" t="s">
        <v>1327</v>
      </c>
      <c r="B636" s="317" t="s">
        <v>230</v>
      </c>
      <c r="C636" s="317" t="s">
        <v>1229</v>
      </c>
      <c r="D636" s="317" t="s">
        <v>1177</v>
      </c>
      <c r="E636" s="317" t="s">
        <v>1328</v>
      </c>
      <c r="F636" s="312">
        <v>10904296</v>
      </c>
      <c r="G636" s="312">
        <v>10904296</v>
      </c>
      <c r="H636" s="123" t="str">
        <f t="shared" si="10"/>
        <v>11010710040000600</v>
      </c>
    </row>
    <row r="637" spans="1:8">
      <c r="A637" s="316" t="s">
        <v>1198</v>
      </c>
      <c r="B637" s="317" t="s">
        <v>230</v>
      </c>
      <c r="C637" s="317" t="s">
        <v>1229</v>
      </c>
      <c r="D637" s="317" t="s">
        <v>1177</v>
      </c>
      <c r="E637" s="317" t="s">
        <v>1199</v>
      </c>
      <c r="F637" s="312">
        <v>10904296</v>
      </c>
      <c r="G637" s="312">
        <v>10904296</v>
      </c>
      <c r="H637" s="123" t="str">
        <f t="shared" si="10"/>
        <v>11010710040000610</v>
      </c>
    </row>
    <row r="638" spans="1:8" ht="76.5">
      <c r="A638" s="316" t="s">
        <v>347</v>
      </c>
      <c r="B638" s="317" t="s">
        <v>230</v>
      </c>
      <c r="C638" s="317" t="s">
        <v>1229</v>
      </c>
      <c r="D638" s="317" t="s">
        <v>1177</v>
      </c>
      <c r="E638" s="317" t="s">
        <v>348</v>
      </c>
      <c r="F638" s="312">
        <v>10904296</v>
      </c>
      <c r="G638" s="312">
        <v>10904296</v>
      </c>
      <c r="H638" s="123" t="str">
        <f t="shared" si="10"/>
        <v>11010710040000611</v>
      </c>
    </row>
    <row r="639" spans="1:8" ht="178.5">
      <c r="A639" s="316" t="s">
        <v>1178</v>
      </c>
      <c r="B639" s="317" t="s">
        <v>230</v>
      </c>
      <c r="C639" s="317" t="s">
        <v>1229</v>
      </c>
      <c r="D639" s="317" t="s">
        <v>1179</v>
      </c>
      <c r="E639" s="317" t="s">
        <v>1173</v>
      </c>
      <c r="F639" s="312">
        <v>2475000</v>
      </c>
      <c r="G639" s="312">
        <v>2475000</v>
      </c>
      <c r="H639" s="123" t="str">
        <f t="shared" si="10"/>
        <v>11010710041000</v>
      </c>
    </row>
    <row r="640" spans="1:8" ht="38.25">
      <c r="A640" s="316" t="s">
        <v>1327</v>
      </c>
      <c r="B640" s="317" t="s">
        <v>230</v>
      </c>
      <c r="C640" s="317" t="s">
        <v>1229</v>
      </c>
      <c r="D640" s="317" t="s">
        <v>1179</v>
      </c>
      <c r="E640" s="317" t="s">
        <v>1328</v>
      </c>
      <c r="F640" s="312">
        <v>2475000</v>
      </c>
      <c r="G640" s="312">
        <v>2475000</v>
      </c>
      <c r="H640" s="123" t="str">
        <f t="shared" si="10"/>
        <v>11010710041000600</v>
      </c>
    </row>
    <row r="641" spans="1:8">
      <c r="A641" s="316" t="s">
        <v>1198</v>
      </c>
      <c r="B641" s="317" t="s">
        <v>230</v>
      </c>
      <c r="C641" s="317" t="s">
        <v>1229</v>
      </c>
      <c r="D641" s="317" t="s">
        <v>1179</v>
      </c>
      <c r="E641" s="317" t="s">
        <v>1199</v>
      </c>
      <c r="F641" s="312">
        <v>2475000</v>
      </c>
      <c r="G641" s="312">
        <v>2475000</v>
      </c>
      <c r="H641" s="123" t="str">
        <f t="shared" si="10"/>
        <v>11010710041000610</v>
      </c>
    </row>
    <row r="642" spans="1:8" ht="76.5">
      <c r="A642" s="316" t="s">
        <v>347</v>
      </c>
      <c r="B642" s="317" t="s">
        <v>230</v>
      </c>
      <c r="C642" s="317" t="s">
        <v>1229</v>
      </c>
      <c r="D642" s="317" t="s">
        <v>1179</v>
      </c>
      <c r="E642" s="317" t="s">
        <v>348</v>
      </c>
      <c r="F642" s="312">
        <v>2475000</v>
      </c>
      <c r="G642" s="312">
        <v>2475000</v>
      </c>
      <c r="H642" s="123" t="str">
        <f t="shared" si="10"/>
        <v>11010710041000611</v>
      </c>
    </row>
    <row r="643" spans="1:8" ht="127.5">
      <c r="A643" s="316" t="s">
        <v>1180</v>
      </c>
      <c r="B643" s="317" t="s">
        <v>230</v>
      </c>
      <c r="C643" s="317" t="s">
        <v>1229</v>
      </c>
      <c r="D643" s="317" t="s">
        <v>1181</v>
      </c>
      <c r="E643" s="317" t="s">
        <v>1173</v>
      </c>
      <c r="F643" s="312">
        <v>50000</v>
      </c>
      <c r="G643" s="312">
        <v>50000</v>
      </c>
      <c r="H643" s="123" t="str">
        <f t="shared" si="10"/>
        <v>11010710047000</v>
      </c>
    </row>
    <row r="644" spans="1:8" ht="38.25">
      <c r="A644" s="316" t="s">
        <v>1327</v>
      </c>
      <c r="B644" s="317" t="s">
        <v>230</v>
      </c>
      <c r="C644" s="317" t="s">
        <v>1229</v>
      </c>
      <c r="D644" s="317" t="s">
        <v>1181</v>
      </c>
      <c r="E644" s="317" t="s">
        <v>1328</v>
      </c>
      <c r="F644" s="312">
        <v>50000</v>
      </c>
      <c r="G644" s="312">
        <v>50000</v>
      </c>
      <c r="H644" s="123" t="str">
        <f t="shared" si="10"/>
        <v>11010710047000600</v>
      </c>
    </row>
    <row r="645" spans="1:8">
      <c r="A645" s="316" t="s">
        <v>1198</v>
      </c>
      <c r="B645" s="317" t="s">
        <v>230</v>
      </c>
      <c r="C645" s="317" t="s">
        <v>1229</v>
      </c>
      <c r="D645" s="317" t="s">
        <v>1181</v>
      </c>
      <c r="E645" s="317" t="s">
        <v>1199</v>
      </c>
      <c r="F645" s="312">
        <v>50000</v>
      </c>
      <c r="G645" s="312">
        <v>50000</v>
      </c>
      <c r="H645" s="123" t="str">
        <f t="shared" si="10"/>
        <v>11010710047000610</v>
      </c>
    </row>
    <row r="646" spans="1:8" ht="25.5">
      <c r="A646" s="316" t="s">
        <v>366</v>
      </c>
      <c r="B646" s="317" t="s">
        <v>230</v>
      </c>
      <c r="C646" s="317" t="s">
        <v>1229</v>
      </c>
      <c r="D646" s="317" t="s">
        <v>1181</v>
      </c>
      <c r="E646" s="317" t="s">
        <v>367</v>
      </c>
      <c r="F646" s="312">
        <v>50000</v>
      </c>
      <c r="G646" s="312">
        <v>50000</v>
      </c>
      <c r="H646" s="123" t="str">
        <f t="shared" si="10"/>
        <v>11010710047000612</v>
      </c>
    </row>
    <row r="647" spans="1:8" ht="127.5">
      <c r="A647" s="316" t="s">
        <v>1182</v>
      </c>
      <c r="B647" s="317" t="s">
        <v>230</v>
      </c>
      <c r="C647" s="317" t="s">
        <v>1229</v>
      </c>
      <c r="D647" s="317" t="s">
        <v>1183</v>
      </c>
      <c r="E647" s="317" t="s">
        <v>1173</v>
      </c>
      <c r="F647" s="312">
        <v>2920000</v>
      </c>
      <c r="G647" s="312">
        <v>2920000</v>
      </c>
      <c r="H647" s="123" t="str">
        <f t="shared" si="10"/>
        <v>1101071004Г000</v>
      </c>
    </row>
    <row r="648" spans="1:8" ht="38.25">
      <c r="A648" s="316" t="s">
        <v>1327</v>
      </c>
      <c r="B648" s="317" t="s">
        <v>230</v>
      </c>
      <c r="C648" s="317" t="s">
        <v>1229</v>
      </c>
      <c r="D648" s="317" t="s">
        <v>1183</v>
      </c>
      <c r="E648" s="317" t="s">
        <v>1328</v>
      </c>
      <c r="F648" s="312">
        <v>2920000</v>
      </c>
      <c r="G648" s="312">
        <v>2920000</v>
      </c>
      <c r="H648" s="123" t="str">
        <f t="shared" si="10"/>
        <v>1101071004Г000600</v>
      </c>
    </row>
    <row r="649" spans="1:8">
      <c r="A649" s="316" t="s">
        <v>1198</v>
      </c>
      <c r="B649" s="317" t="s">
        <v>230</v>
      </c>
      <c r="C649" s="317" t="s">
        <v>1229</v>
      </c>
      <c r="D649" s="317" t="s">
        <v>1183</v>
      </c>
      <c r="E649" s="317" t="s">
        <v>1199</v>
      </c>
      <c r="F649" s="312">
        <v>2920000</v>
      </c>
      <c r="G649" s="312">
        <v>2920000</v>
      </c>
      <c r="H649" s="123" t="str">
        <f t="shared" si="10"/>
        <v>1101071004Г000610</v>
      </c>
    </row>
    <row r="650" spans="1:8" ht="76.5">
      <c r="A650" s="316" t="s">
        <v>347</v>
      </c>
      <c r="B650" s="317" t="s">
        <v>230</v>
      </c>
      <c r="C650" s="317" t="s">
        <v>1229</v>
      </c>
      <c r="D650" s="317" t="s">
        <v>1183</v>
      </c>
      <c r="E650" s="317" t="s">
        <v>348</v>
      </c>
      <c r="F650" s="312">
        <v>2920000</v>
      </c>
      <c r="G650" s="312">
        <v>2920000</v>
      </c>
      <c r="H650" s="123" t="str">
        <f t="shared" si="10"/>
        <v>1101071004Г000611</v>
      </c>
    </row>
    <row r="651" spans="1:8" ht="140.25">
      <c r="A651" s="316" t="s">
        <v>1637</v>
      </c>
      <c r="B651" s="317" t="s">
        <v>230</v>
      </c>
      <c r="C651" s="317" t="s">
        <v>1229</v>
      </c>
      <c r="D651" s="317" t="s">
        <v>1638</v>
      </c>
      <c r="E651" s="317" t="s">
        <v>1173</v>
      </c>
      <c r="F651" s="312">
        <v>21000</v>
      </c>
      <c r="G651" s="312">
        <v>21000</v>
      </c>
      <c r="H651" s="123" t="str">
        <f t="shared" si="10"/>
        <v>1101071004М000</v>
      </c>
    </row>
    <row r="652" spans="1:8" ht="38.25">
      <c r="A652" s="316" t="s">
        <v>1327</v>
      </c>
      <c r="B652" s="317" t="s">
        <v>230</v>
      </c>
      <c r="C652" s="317" t="s">
        <v>1229</v>
      </c>
      <c r="D652" s="317" t="s">
        <v>1638</v>
      </c>
      <c r="E652" s="317" t="s">
        <v>1328</v>
      </c>
      <c r="F652" s="312">
        <v>21000</v>
      </c>
      <c r="G652" s="312">
        <v>21000</v>
      </c>
      <c r="H652" s="123" t="str">
        <f t="shared" si="10"/>
        <v>1101071004М000600</v>
      </c>
    </row>
    <row r="653" spans="1:8">
      <c r="A653" s="316" t="s">
        <v>1198</v>
      </c>
      <c r="B653" s="317" t="s">
        <v>230</v>
      </c>
      <c r="C653" s="317" t="s">
        <v>1229</v>
      </c>
      <c r="D653" s="317" t="s">
        <v>1638</v>
      </c>
      <c r="E653" s="317" t="s">
        <v>1199</v>
      </c>
      <c r="F653" s="312">
        <v>21000</v>
      </c>
      <c r="G653" s="312">
        <v>21000</v>
      </c>
      <c r="H653" s="123" t="str">
        <f t="shared" si="10"/>
        <v>1101071004М000610</v>
      </c>
    </row>
    <row r="654" spans="1:8" ht="76.5">
      <c r="A654" s="316" t="s">
        <v>347</v>
      </c>
      <c r="B654" s="317" t="s">
        <v>230</v>
      </c>
      <c r="C654" s="317" t="s">
        <v>1229</v>
      </c>
      <c r="D654" s="317" t="s">
        <v>1638</v>
      </c>
      <c r="E654" s="317" t="s">
        <v>348</v>
      </c>
      <c r="F654" s="312">
        <v>21000</v>
      </c>
      <c r="G654" s="312">
        <v>21000</v>
      </c>
      <c r="H654" s="123" t="str">
        <f t="shared" si="10"/>
        <v>1101071004М000611</v>
      </c>
    </row>
    <row r="655" spans="1:8" ht="114.75">
      <c r="A655" s="316" t="s">
        <v>1184</v>
      </c>
      <c r="B655" s="317" t="s">
        <v>230</v>
      </c>
      <c r="C655" s="317" t="s">
        <v>1229</v>
      </c>
      <c r="D655" s="317" t="s">
        <v>1185</v>
      </c>
      <c r="E655" s="317" t="s">
        <v>1173</v>
      </c>
      <c r="F655" s="312">
        <v>500000</v>
      </c>
      <c r="G655" s="312">
        <v>500000</v>
      </c>
      <c r="H655" s="123" t="str">
        <f t="shared" si="10"/>
        <v>1101071004Э000</v>
      </c>
    </row>
    <row r="656" spans="1:8" ht="38.25">
      <c r="A656" s="316" t="s">
        <v>1327</v>
      </c>
      <c r="B656" s="317" t="s">
        <v>230</v>
      </c>
      <c r="C656" s="317" t="s">
        <v>1229</v>
      </c>
      <c r="D656" s="317" t="s">
        <v>1185</v>
      </c>
      <c r="E656" s="317" t="s">
        <v>1328</v>
      </c>
      <c r="F656" s="312">
        <v>500000</v>
      </c>
      <c r="G656" s="312">
        <v>500000</v>
      </c>
      <c r="H656" s="123" t="str">
        <f t="shared" si="10"/>
        <v>1101071004Э000600</v>
      </c>
    </row>
    <row r="657" spans="1:8">
      <c r="A657" s="316" t="s">
        <v>1198</v>
      </c>
      <c r="B657" s="317" t="s">
        <v>230</v>
      </c>
      <c r="C657" s="317" t="s">
        <v>1229</v>
      </c>
      <c r="D657" s="317" t="s">
        <v>1185</v>
      </c>
      <c r="E657" s="317" t="s">
        <v>1199</v>
      </c>
      <c r="F657" s="312">
        <v>500000</v>
      </c>
      <c r="G657" s="312">
        <v>500000</v>
      </c>
      <c r="H657" s="123" t="str">
        <f t="shared" si="10"/>
        <v>1101071004Э000610</v>
      </c>
    </row>
    <row r="658" spans="1:8" ht="76.5">
      <c r="A658" s="316" t="s">
        <v>347</v>
      </c>
      <c r="B658" s="317" t="s">
        <v>230</v>
      </c>
      <c r="C658" s="317" t="s">
        <v>1229</v>
      </c>
      <c r="D658" s="317" t="s">
        <v>1185</v>
      </c>
      <c r="E658" s="317" t="s">
        <v>348</v>
      </c>
      <c r="F658" s="312">
        <v>500000</v>
      </c>
      <c r="G658" s="312">
        <v>500000</v>
      </c>
      <c r="H658" s="123" t="str">
        <f t="shared" si="10"/>
        <v>1101071004Э000611</v>
      </c>
    </row>
    <row r="659" spans="1:8" ht="102">
      <c r="A659" s="316" t="s">
        <v>1186</v>
      </c>
      <c r="B659" s="317" t="s">
        <v>230</v>
      </c>
      <c r="C659" s="317" t="s">
        <v>1229</v>
      </c>
      <c r="D659" s="317" t="s">
        <v>1187</v>
      </c>
      <c r="E659" s="317" t="s">
        <v>1173</v>
      </c>
      <c r="F659" s="312">
        <v>900000</v>
      </c>
      <c r="G659" s="312">
        <v>900000</v>
      </c>
      <c r="H659" s="123" t="str">
        <f t="shared" si="10"/>
        <v>110107100Ч0020</v>
      </c>
    </row>
    <row r="660" spans="1:8" ht="38.25">
      <c r="A660" s="316" t="s">
        <v>1327</v>
      </c>
      <c r="B660" s="317" t="s">
        <v>230</v>
      </c>
      <c r="C660" s="317" t="s">
        <v>1229</v>
      </c>
      <c r="D660" s="317" t="s">
        <v>1187</v>
      </c>
      <c r="E660" s="317" t="s">
        <v>1328</v>
      </c>
      <c r="F660" s="312">
        <v>900000</v>
      </c>
      <c r="G660" s="312">
        <v>900000</v>
      </c>
      <c r="H660" s="123" t="str">
        <f t="shared" si="10"/>
        <v>110107100Ч0020600</v>
      </c>
    </row>
    <row r="661" spans="1:8">
      <c r="A661" s="316" t="s">
        <v>1198</v>
      </c>
      <c r="B661" s="317" t="s">
        <v>230</v>
      </c>
      <c r="C661" s="317" t="s">
        <v>1229</v>
      </c>
      <c r="D661" s="317" t="s">
        <v>1187</v>
      </c>
      <c r="E661" s="317" t="s">
        <v>1199</v>
      </c>
      <c r="F661" s="312">
        <v>900000</v>
      </c>
      <c r="G661" s="312">
        <v>900000</v>
      </c>
      <c r="H661" s="123" t="str">
        <f t="shared" si="10"/>
        <v>110107100Ч0020610</v>
      </c>
    </row>
    <row r="662" spans="1:8" ht="76.5">
      <c r="A662" s="316" t="s">
        <v>347</v>
      </c>
      <c r="B662" s="317" t="s">
        <v>230</v>
      </c>
      <c r="C662" s="317" t="s">
        <v>1229</v>
      </c>
      <c r="D662" s="317" t="s">
        <v>1187</v>
      </c>
      <c r="E662" s="317" t="s">
        <v>348</v>
      </c>
      <c r="F662" s="312">
        <v>900000</v>
      </c>
      <c r="G662" s="312">
        <v>900000</v>
      </c>
      <c r="H662" s="123" t="str">
        <f t="shared" si="10"/>
        <v>110107100Ч0020611</v>
      </c>
    </row>
    <row r="663" spans="1:8">
      <c r="A663" s="316" t="s">
        <v>210</v>
      </c>
      <c r="B663" s="317" t="s">
        <v>230</v>
      </c>
      <c r="C663" s="317" t="s">
        <v>381</v>
      </c>
      <c r="D663" s="317" t="s">
        <v>1173</v>
      </c>
      <c r="E663" s="317" t="s">
        <v>1173</v>
      </c>
      <c r="F663" s="312">
        <v>687650</v>
      </c>
      <c r="G663" s="312">
        <v>687650</v>
      </c>
      <c r="H663" s="123" t="str">
        <f t="shared" si="10"/>
        <v>1102</v>
      </c>
    </row>
    <row r="664" spans="1:8" ht="38.25">
      <c r="A664" s="316" t="s">
        <v>1351</v>
      </c>
      <c r="B664" s="317" t="s">
        <v>230</v>
      </c>
      <c r="C664" s="317" t="s">
        <v>381</v>
      </c>
      <c r="D664" s="317" t="s">
        <v>988</v>
      </c>
      <c r="E664" s="317" t="s">
        <v>1173</v>
      </c>
      <c r="F664" s="312">
        <v>687650</v>
      </c>
      <c r="G664" s="312">
        <v>687650</v>
      </c>
      <c r="H664" s="123" t="str">
        <f t="shared" si="10"/>
        <v>11020700000000</v>
      </c>
    </row>
    <row r="665" spans="1:8" ht="25.5">
      <c r="A665" s="316" t="s">
        <v>475</v>
      </c>
      <c r="B665" s="317" t="s">
        <v>230</v>
      </c>
      <c r="C665" s="317" t="s">
        <v>381</v>
      </c>
      <c r="D665" s="317" t="s">
        <v>989</v>
      </c>
      <c r="E665" s="317" t="s">
        <v>1173</v>
      </c>
      <c r="F665" s="312">
        <v>500000</v>
      </c>
      <c r="G665" s="312">
        <v>500000</v>
      </c>
      <c r="H665" s="123" t="str">
        <f t="shared" si="10"/>
        <v>11020710000000</v>
      </c>
    </row>
    <row r="666" spans="1:8" ht="89.25">
      <c r="A666" s="316" t="s">
        <v>1779</v>
      </c>
      <c r="B666" s="317" t="s">
        <v>230</v>
      </c>
      <c r="C666" s="317" t="s">
        <v>381</v>
      </c>
      <c r="D666" s="317" t="s">
        <v>1780</v>
      </c>
      <c r="E666" s="317" t="s">
        <v>1173</v>
      </c>
      <c r="F666" s="312">
        <v>500000</v>
      </c>
      <c r="G666" s="312">
        <v>500000</v>
      </c>
      <c r="H666" s="123" t="str">
        <f t="shared" si="10"/>
        <v>110207100Ф0000</v>
      </c>
    </row>
    <row r="667" spans="1:8" ht="38.25">
      <c r="A667" s="316" t="s">
        <v>1327</v>
      </c>
      <c r="B667" s="317" t="s">
        <v>230</v>
      </c>
      <c r="C667" s="317" t="s">
        <v>381</v>
      </c>
      <c r="D667" s="317" t="s">
        <v>1780</v>
      </c>
      <c r="E667" s="317" t="s">
        <v>1328</v>
      </c>
      <c r="F667" s="312">
        <v>500000</v>
      </c>
      <c r="G667" s="312">
        <v>500000</v>
      </c>
      <c r="H667" s="123" t="str">
        <f t="shared" si="10"/>
        <v>110207100Ф0000600</v>
      </c>
    </row>
    <row r="668" spans="1:8">
      <c r="A668" s="316" t="s">
        <v>1198</v>
      </c>
      <c r="B668" s="317" t="s">
        <v>230</v>
      </c>
      <c r="C668" s="317" t="s">
        <v>381</v>
      </c>
      <c r="D668" s="317" t="s">
        <v>1780</v>
      </c>
      <c r="E668" s="317" t="s">
        <v>1199</v>
      </c>
      <c r="F668" s="312">
        <v>500000</v>
      </c>
      <c r="G668" s="312">
        <v>500000</v>
      </c>
      <c r="H668" s="123" t="str">
        <f t="shared" si="10"/>
        <v>110207100Ф0000610</v>
      </c>
    </row>
    <row r="669" spans="1:8" ht="25.5">
      <c r="A669" s="316" t="s">
        <v>366</v>
      </c>
      <c r="B669" s="317" t="s">
        <v>230</v>
      </c>
      <c r="C669" s="317" t="s">
        <v>381</v>
      </c>
      <c r="D669" s="317" t="s">
        <v>1780</v>
      </c>
      <c r="E669" s="317" t="s">
        <v>367</v>
      </c>
      <c r="F669" s="312">
        <v>500000</v>
      </c>
      <c r="G669" s="312">
        <v>500000</v>
      </c>
      <c r="H669" s="123" t="str">
        <f t="shared" si="10"/>
        <v>110207100Ф0000612</v>
      </c>
    </row>
    <row r="670" spans="1:8" ht="25.5">
      <c r="A670" s="316" t="s">
        <v>477</v>
      </c>
      <c r="B670" s="317" t="s">
        <v>230</v>
      </c>
      <c r="C670" s="317" t="s">
        <v>381</v>
      </c>
      <c r="D670" s="317" t="s">
        <v>990</v>
      </c>
      <c r="E670" s="317" t="s">
        <v>1173</v>
      </c>
      <c r="F670" s="312">
        <v>187650</v>
      </c>
      <c r="G670" s="312">
        <v>187650</v>
      </c>
      <c r="H670" s="123" t="str">
        <f t="shared" si="10"/>
        <v>11020720000000</v>
      </c>
    </row>
    <row r="671" spans="1:8" ht="102">
      <c r="A671" s="316" t="s">
        <v>504</v>
      </c>
      <c r="B671" s="317" t="s">
        <v>230</v>
      </c>
      <c r="C671" s="317" t="s">
        <v>381</v>
      </c>
      <c r="D671" s="317" t="s">
        <v>690</v>
      </c>
      <c r="E671" s="317" t="s">
        <v>1173</v>
      </c>
      <c r="F671" s="312">
        <v>187650</v>
      </c>
      <c r="G671" s="312">
        <v>187650</v>
      </c>
      <c r="H671" s="123" t="str">
        <f t="shared" si="10"/>
        <v>11020720080010</v>
      </c>
    </row>
    <row r="672" spans="1:8" ht="38.25">
      <c r="A672" s="316" t="s">
        <v>1327</v>
      </c>
      <c r="B672" s="317" t="s">
        <v>230</v>
      </c>
      <c r="C672" s="317" t="s">
        <v>381</v>
      </c>
      <c r="D672" s="317" t="s">
        <v>690</v>
      </c>
      <c r="E672" s="317" t="s">
        <v>1328</v>
      </c>
      <c r="F672" s="312">
        <v>187650</v>
      </c>
      <c r="G672" s="312">
        <v>187650</v>
      </c>
      <c r="H672" s="123" t="str">
        <f t="shared" si="10"/>
        <v>11020720080010600</v>
      </c>
    </row>
    <row r="673" spans="1:8">
      <c r="A673" s="316" t="s">
        <v>1198</v>
      </c>
      <c r="B673" s="317" t="s">
        <v>230</v>
      </c>
      <c r="C673" s="317" t="s">
        <v>381</v>
      </c>
      <c r="D673" s="317" t="s">
        <v>690</v>
      </c>
      <c r="E673" s="317" t="s">
        <v>1199</v>
      </c>
      <c r="F673" s="312">
        <v>187650</v>
      </c>
      <c r="G673" s="312">
        <v>187650</v>
      </c>
      <c r="H673" s="123" t="str">
        <f t="shared" si="10"/>
        <v>11020720080010610</v>
      </c>
    </row>
    <row r="674" spans="1:8" ht="76.5">
      <c r="A674" s="316" t="s">
        <v>347</v>
      </c>
      <c r="B674" s="317" t="s">
        <v>230</v>
      </c>
      <c r="C674" s="317" t="s">
        <v>381</v>
      </c>
      <c r="D674" s="317" t="s">
        <v>690</v>
      </c>
      <c r="E674" s="317" t="s">
        <v>348</v>
      </c>
      <c r="F674" s="312">
        <v>187650</v>
      </c>
      <c r="G674" s="312">
        <v>187650</v>
      </c>
      <c r="H674" s="123" t="str">
        <f t="shared" si="10"/>
        <v>11020720080010611</v>
      </c>
    </row>
    <row r="675" spans="1:8" ht="25.5">
      <c r="A675" s="316" t="s">
        <v>186</v>
      </c>
      <c r="B675" s="317" t="s">
        <v>66</v>
      </c>
      <c r="C675" s="317" t="s">
        <v>1173</v>
      </c>
      <c r="D675" s="317" t="s">
        <v>1173</v>
      </c>
      <c r="E675" s="317" t="s">
        <v>1173</v>
      </c>
      <c r="F675" s="312">
        <v>6068765.3399999999</v>
      </c>
      <c r="G675" s="312">
        <v>7809906.25</v>
      </c>
      <c r="H675" s="123" t="str">
        <f t="shared" si="10"/>
        <v/>
      </c>
    </row>
    <row r="676" spans="1:8">
      <c r="A676" s="316" t="s">
        <v>234</v>
      </c>
      <c r="B676" s="317" t="s">
        <v>66</v>
      </c>
      <c r="C676" s="317" t="s">
        <v>1135</v>
      </c>
      <c r="D676" s="317" t="s">
        <v>1173</v>
      </c>
      <c r="E676" s="317" t="s">
        <v>1173</v>
      </c>
      <c r="F676" s="312">
        <v>1350000</v>
      </c>
      <c r="G676" s="312">
        <v>1350000</v>
      </c>
      <c r="H676" s="123" t="str">
        <f t="shared" si="10"/>
        <v>0100</v>
      </c>
    </row>
    <row r="677" spans="1:8">
      <c r="A677" s="316" t="s">
        <v>217</v>
      </c>
      <c r="B677" s="317" t="s">
        <v>66</v>
      </c>
      <c r="C677" s="317" t="s">
        <v>337</v>
      </c>
      <c r="D677" s="317" t="s">
        <v>1173</v>
      </c>
      <c r="E677" s="317" t="s">
        <v>1173</v>
      </c>
      <c r="F677" s="312">
        <v>1350000</v>
      </c>
      <c r="G677" s="312">
        <v>1350000</v>
      </c>
      <c r="H677" s="123" t="str">
        <f t="shared" si="10"/>
        <v>0113</v>
      </c>
    </row>
    <row r="678" spans="1:8" ht="25.5">
      <c r="A678" s="316" t="s">
        <v>601</v>
      </c>
      <c r="B678" s="317" t="s">
        <v>66</v>
      </c>
      <c r="C678" s="317" t="s">
        <v>337</v>
      </c>
      <c r="D678" s="317" t="s">
        <v>1011</v>
      </c>
      <c r="E678" s="317" t="s">
        <v>1173</v>
      </c>
      <c r="F678" s="312">
        <v>1350000</v>
      </c>
      <c r="G678" s="312">
        <v>1350000</v>
      </c>
      <c r="H678" s="123" t="str">
        <f t="shared" ref="H678:H741" si="11">CONCATENATE(C678,,D678,E678)</f>
        <v>01139000000000</v>
      </c>
    </row>
    <row r="679" spans="1:8" ht="38.25">
      <c r="A679" s="316" t="s">
        <v>431</v>
      </c>
      <c r="B679" s="317" t="s">
        <v>66</v>
      </c>
      <c r="C679" s="317" t="s">
        <v>337</v>
      </c>
      <c r="D679" s="317" t="s">
        <v>1015</v>
      </c>
      <c r="E679" s="317" t="s">
        <v>1173</v>
      </c>
      <c r="F679" s="312">
        <v>1350000</v>
      </c>
      <c r="G679" s="312">
        <v>1350000</v>
      </c>
      <c r="H679" s="123" t="str">
        <f t="shared" si="11"/>
        <v>01139090000000</v>
      </c>
    </row>
    <row r="680" spans="1:8" ht="63.75">
      <c r="A680" s="316" t="s">
        <v>527</v>
      </c>
      <c r="B680" s="317" t="s">
        <v>66</v>
      </c>
      <c r="C680" s="317" t="s">
        <v>337</v>
      </c>
      <c r="D680" s="317" t="s">
        <v>734</v>
      </c>
      <c r="E680" s="317" t="s">
        <v>1173</v>
      </c>
      <c r="F680" s="312">
        <v>1350000</v>
      </c>
      <c r="G680" s="312">
        <v>1350000</v>
      </c>
      <c r="H680" s="123" t="str">
        <f t="shared" si="11"/>
        <v>011390900Д0000</v>
      </c>
    </row>
    <row r="681" spans="1:8" ht="38.25">
      <c r="A681" s="316" t="s">
        <v>1319</v>
      </c>
      <c r="B681" s="317" t="s">
        <v>66</v>
      </c>
      <c r="C681" s="317" t="s">
        <v>337</v>
      </c>
      <c r="D681" s="317" t="s">
        <v>734</v>
      </c>
      <c r="E681" s="317" t="s">
        <v>1320</v>
      </c>
      <c r="F681" s="312">
        <v>1350000</v>
      </c>
      <c r="G681" s="312">
        <v>1350000</v>
      </c>
      <c r="H681" s="123" t="str">
        <f t="shared" si="11"/>
        <v>011390900Д0000200</v>
      </c>
    </row>
    <row r="682" spans="1:8" ht="38.25">
      <c r="A682" s="316" t="s">
        <v>1196</v>
      </c>
      <c r="B682" s="317" t="s">
        <v>66</v>
      </c>
      <c r="C682" s="317" t="s">
        <v>337</v>
      </c>
      <c r="D682" s="317" t="s">
        <v>734</v>
      </c>
      <c r="E682" s="317" t="s">
        <v>1197</v>
      </c>
      <c r="F682" s="312">
        <v>1350000</v>
      </c>
      <c r="G682" s="312">
        <v>1350000</v>
      </c>
      <c r="H682" s="123" t="str">
        <f t="shared" si="11"/>
        <v>011390900Д0000240</v>
      </c>
    </row>
    <row r="683" spans="1:8">
      <c r="A683" s="316" t="s">
        <v>1223</v>
      </c>
      <c r="B683" s="317" t="s">
        <v>66</v>
      </c>
      <c r="C683" s="317" t="s">
        <v>337</v>
      </c>
      <c r="D683" s="317" t="s">
        <v>734</v>
      </c>
      <c r="E683" s="317" t="s">
        <v>329</v>
      </c>
      <c r="F683" s="312">
        <v>1350000</v>
      </c>
      <c r="G683" s="312">
        <v>1350000</v>
      </c>
      <c r="H683" s="123" t="str">
        <f t="shared" si="11"/>
        <v>011390900Д0000244</v>
      </c>
    </row>
    <row r="684" spans="1:8">
      <c r="A684" s="316" t="s">
        <v>183</v>
      </c>
      <c r="B684" s="317" t="s">
        <v>66</v>
      </c>
      <c r="C684" s="317" t="s">
        <v>1140</v>
      </c>
      <c r="D684" s="317" t="s">
        <v>1173</v>
      </c>
      <c r="E684" s="317" t="s">
        <v>1173</v>
      </c>
      <c r="F684" s="312">
        <v>600000</v>
      </c>
      <c r="G684" s="312">
        <v>600000</v>
      </c>
      <c r="H684" s="123" t="str">
        <f t="shared" si="11"/>
        <v>0400</v>
      </c>
    </row>
    <row r="685" spans="1:8" ht="25.5">
      <c r="A685" s="316" t="s">
        <v>145</v>
      </c>
      <c r="B685" s="317" t="s">
        <v>66</v>
      </c>
      <c r="C685" s="317" t="s">
        <v>360</v>
      </c>
      <c r="D685" s="317" t="s">
        <v>1173</v>
      </c>
      <c r="E685" s="317" t="s">
        <v>1173</v>
      </c>
      <c r="F685" s="312">
        <v>600000</v>
      </c>
      <c r="G685" s="312">
        <v>600000</v>
      </c>
      <c r="H685" s="123" t="str">
        <f t="shared" si="11"/>
        <v>0412</v>
      </c>
    </row>
    <row r="686" spans="1:8" ht="25.5">
      <c r="A686" s="316" t="s">
        <v>601</v>
      </c>
      <c r="B686" s="317" t="s">
        <v>66</v>
      </c>
      <c r="C686" s="317" t="s">
        <v>360</v>
      </c>
      <c r="D686" s="317" t="s">
        <v>1011</v>
      </c>
      <c r="E686" s="317" t="s">
        <v>1173</v>
      </c>
      <c r="F686" s="312">
        <v>600000</v>
      </c>
      <c r="G686" s="312">
        <v>600000</v>
      </c>
      <c r="H686" s="123" t="str">
        <f t="shared" si="11"/>
        <v>04129000000000</v>
      </c>
    </row>
    <row r="687" spans="1:8" ht="38.25">
      <c r="A687" s="316" t="s">
        <v>431</v>
      </c>
      <c r="B687" s="317" t="s">
        <v>66</v>
      </c>
      <c r="C687" s="317" t="s">
        <v>360</v>
      </c>
      <c r="D687" s="317" t="s">
        <v>1015</v>
      </c>
      <c r="E687" s="317" t="s">
        <v>1173</v>
      </c>
      <c r="F687" s="312">
        <v>600000</v>
      </c>
      <c r="G687" s="312">
        <v>600000</v>
      </c>
      <c r="H687" s="123" t="str">
        <f t="shared" si="11"/>
        <v>04129090000000</v>
      </c>
    </row>
    <row r="688" spans="1:8" ht="63.75">
      <c r="A688" s="316" t="s">
        <v>403</v>
      </c>
      <c r="B688" s="317" t="s">
        <v>66</v>
      </c>
      <c r="C688" s="317" t="s">
        <v>360</v>
      </c>
      <c r="D688" s="317" t="s">
        <v>735</v>
      </c>
      <c r="E688" s="317" t="s">
        <v>1173</v>
      </c>
      <c r="F688" s="312">
        <v>600000</v>
      </c>
      <c r="G688" s="312">
        <v>600000</v>
      </c>
      <c r="H688" s="123" t="str">
        <f t="shared" si="11"/>
        <v>041290900Ж0000</v>
      </c>
    </row>
    <row r="689" spans="1:8" ht="38.25">
      <c r="A689" s="316" t="s">
        <v>1319</v>
      </c>
      <c r="B689" s="317" t="s">
        <v>66</v>
      </c>
      <c r="C689" s="317" t="s">
        <v>360</v>
      </c>
      <c r="D689" s="317" t="s">
        <v>735</v>
      </c>
      <c r="E689" s="317" t="s">
        <v>1320</v>
      </c>
      <c r="F689" s="312">
        <v>600000</v>
      </c>
      <c r="G689" s="312">
        <v>600000</v>
      </c>
      <c r="H689" s="123" t="str">
        <f t="shared" si="11"/>
        <v>041290900Ж0000200</v>
      </c>
    </row>
    <row r="690" spans="1:8" ht="38.25">
      <c r="A690" s="316" t="s">
        <v>1196</v>
      </c>
      <c r="B690" s="317" t="s">
        <v>66</v>
      </c>
      <c r="C690" s="317" t="s">
        <v>360</v>
      </c>
      <c r="D690" s="317" t="s">
        <v>735</v>
      </c>
      <c r="E690" s="317" t="s">
        <v>1197</v>
      </c>
      <c r="F690" s="312">
        <v>600000</v>
      </c>
      <c r="G690" s="312">
        <v>600000</v>
      </c>
      <c r="H690" s="123" t="str">
        <f t="shared" si="11"/>
        <v>041290900Ж0000240</v>
      </c>
    </row>
    <row r="691" spans="1:8">
      <c r="A691" s="316" t="s">
        <v>1223</v>
      </c>
      <c r="B691" s="317" t="s">
        <v>66</v>
      </c>
      <c r="C691" s="317" t="s">
        <v>360</v>
      </c>
      <c r="D691" s="317" t="s">
        <v>735</v>
      </c>
      <c r="E691" s="317" t="s">
        <v>329</v>
      </c>
      <c r="F691" s="312">
        <v>600000</v>
      </c>
      <c r="G691" s="312">
        <v>600000</v>
      </c>
      <c r="H691" s="123" t="str">
        <f t="shared" si="11"/>
        <v>041290900Ж0000244</v>
      </c>
    </row>
    <row r="692" spans="1:8" ht="25.5">
      <c r="A692" s="316" t="s">
        <v>239</v>
      </c>
      <c r="B692" s="317" t="s">
        <v>66</v>
      </c>
      <c r="C692" s="317" t="s">
        <v>1141</v>
      </c>
      <c r="D692" s="317" t="s">
        <v>1173</v>
      </c>
      <c r="E692" s="317" t="s">
        <v>1173</v>
      </c>
      <c r="F692" s="312">
        <v>1229454</v>
      </c>
      <c r="G692" s="312">
        <v>1229454</v>
      </c>
      <c r="H692" s="123" t="str">
        <f t="shared" si="11"/>
        <v>0500</v>
      </c>
    </row>
    <row r="693" spans="1:8">
      <c r="A693" s="316" t="s">
        <v>3</v>
      </c>
      <c r="B693" s="317" t="s">
        <v>66</v>
      </c>
      <c r="C693" s="317" t="s">
        <v>386</v>
      </c>
      <c r="D693" s="317" t="s">
        <v>1173</v>
      </c>
      <c r="E693" s="317" t="s">
        <v>1173</v>
      </c>
      <c r="F693" s="312">
        <v>1229454</v>
      </c>
      <c r="G693" s="312">
        <v>1229454</v>
      </c>
      <c r="H693" s="123" t="str">
        <f t="shared" si="11"/>
        <v>0501</v>
      </c>
    </row>
    <row r="694" spans="1:8" ht="63.75">
      <c r="A694" s="316" t="s">
        <v>452</v>
      </c>
      <c r="B694" s="317" t="s">
        <v>66</v>
      </c>
      <c r="C694" s="317" t="s">
        <v>386</v>
      </c>
      <c r="D694" s="317" t="s">
        <v>974</v>
      </c>
      <c r="E694" s="317" t="s">
        <v>1173</v>
      </c>
      <c r="F694" s="312">
        <v>269454</v>
      </c>
      <c r="G694" s="312">
        <v>269454</v>
      </c>
      <c r="H694" s="123" t="str">
        <f t="shared" si="11"/>
        <v>05010300000000</v>
      </c>
    </row>
    <row r="695" spans="1:8" ht="63.75">
      <c r="A695" s="316" t="s">
        <v>592</v>
      </c>
      <c r="B695" s="317" t="s">
        <v>66</v>
      </c>
      <c r="C695" s="317" t="s">
        <v>386</v>
      </c>
      <c r="D695" s="317" t="s">
        <v>976</v>
      </c>
      <c r="E695" s="317" t="s">
        <v>1173</v>
      </c>
      <c r="F695" s="312">
        <v>269454</v>
      </c>
      <c r="G695" s="312">
        <v>269454</v>
      </c>
      <c r="H695" s="123" t="str">
        <f t="shared" si="11"/>
        <v>05010330000000</v>
      </c>
    </row>
    <row r="696" spans="1:8" ht="127.5">
      <c r="A696" s="316" t="s">
        <v>529</v>
      </c>
      <c r="B696" s="317" t="s">
        <v>66</v>
      </c>
      <c r="C696" s="317" t="s">
        <v>386</v>
      </c>
      <c r="D696" s="317" t="s">
        <v>737</v>
      </c>
      <c r="E696" s="317" t="s">
        <v>1173</v>
      </c>
      <c r="F696" s="312">
        <v>269454</v>
      </c>
      <c r="G696" s="312">
        <v>269454</v>
      </c>
      <c r="H696" s="123" t="str">
        <f t="shared" si="11"/>
        <v>05010330080000</v>
      </c>
    </row>
    <row r="697" spans="1:8" ht="38.25">
      <c r="A697" s="316" t="s">
        <v>1319</v>
      </c>
      <c r="B697" s="317" t="s">
        <v>66</v>
      </c>
      <c r="C697" s="317" t="s">
        <v>386</v>
      </c>
      <c r="D697" s="317" t="s">
        <v>737</v>
      </c>
      <c r="E697" s="317" t="s">
        <v>1320</v>
      </c>
      <c r="F697" s="312">
        <v>269454</v>
      </c>
      <c r="G697" s="312">
        <v>269454</v>
      </c>
      <c r="H697" s="123" t="str">
        <f t="shared" si="11"/>
        <v>05010330080000200</v>
      </c>
    </row>
    <row r="698" spans="1:8" ht="38.25">
      <c r="A698" s="316" t="s">
        <v>1196</v>
      </c>
      <c r="B698" s="317" t="s">
        <v>66</v>
      </c>
      <c r="C698" s="317" t="s">
        <v>386</v>
      </c>
      <c r="D698" s="317" t="s">
        <v>737</v>
      </c>
      <c r="E698" s="317" t="s">
        <v>1197</v>
      </c>
      <c r="F698" s="312">
        <v>269454</v>
      </c>
      <c r="G698" s="312">
        <v>269454</v>
      </c>
      <c r="H698" s="123" t="str">
        <f t="shared" si="11"/>
        <v>05010330080000240</v>
      </c>
    </row>
    <row r="699" spans="1:8">
      <c r="A699" s="316" t="s">
        <v>1223</v>
      </c>
      <c r="B699" s="317" t="s">
        <v>66</v>
      </c>
      <c r="C699" s="317" t="s">
        <v>386</v>
      </c>
      <c r="D699" s="317" t="s">
        <v>737</v>
      </c>
      <c r="E699" s="317" t="s">
        <v>329</v>
      </c>
      <c r="F699" s="312">
        <v>269454</v>
      </c>
      <c r="G699" s="312">
        <v>269454</v>
      </c>
      <c r="H699" s="123" t="str">
        <f t="shared" si="11"/>
        <v>05010330080000244</v>
      </c>
    </row>
    <row r="700" spans="1:8" ht="38.25">
      <c r="A700" s="316" t="s">
        <v>596</v>
      </c>
      <c r="B700" s="317" t="s">
        <v>66</v>
      </c>
      <c r="C700" s="317" t="s">
        <v>386</v>
      </c>
      <c r="D700" s="317" t="s">
        <v>997</v>
      </c>
      <c r="E700" s="317" t="s">
        <v>1173</v>
      </c>
      <c r="F700" s="312">
        <v>960000</v>
      </c>
      <c r="G700" s="312">
        <v>960000</v>
      </c>
      <c r="H700" s="123" t="str">
        <f t="shared" si="11"/>
        <v>05011000000000</v>
      </c>
    </row>
    <row r="701" spans="1:8" ht="38.25">
      <c r="A701" s="316" t="s">
        <v>597</v>
      </c>
      <c r="B701" s="317" t="s">
        <v>66</v>
      </c>
      <c r="C701" s="317" t="s">
        <v>386</v>
      </c>
      <c r="D701" s="317" t="s">
        <v>998</v>
      </c>
      <c r="E701" s="317" t="s">
        <v>1173</v>
      </c>
      <c r="F701" s="312">
        <v>960000</v>
      </c>
      <c r="G701" s="312">
        <v>960000</v>
      </c>
      <c r="H701" s="123" t="str">
        <f t="shared" si="11"/>
        <v>05011050000000</v>
      </c>
    </row>
    <row r="702" spans="1:8" ht="89.25">
      <c r="A702" s="316" t="s">
        <v>528</v>
      </c>
      <c r="B702" s="317" t="s">
        <v>66</v>
      </c>
      <c r="C702" s="317" t="s">
        <v>386</v>
      </c>
      <c r="D702" s="317" t="s">
        <v>736</v>
      </c>
      <c r="E702" s="317" t="s">
        <v>1173</v>
      </c>
      <c r="F702" s="312">
        <v>960000</v>
      </c>
      <c r="G702" s="312">
        <v>960000</v>
      </c>
      <c r="H702" s="123" t="str">
        <f t="shared" si="11"/>
        <v>05011050080000</v>
      </c>
    </row>
    <row r="703" spans="1:8" ht="25.5">
      <c r="A703" s="316" t="s">
        <v>1323</v>
      </c>
      <c r="B703" s="317" t="s">
        <v>66</v>
      </c>
      <c r="C703" s="317" t="s">
        <v>386</v>
      </c>
      <c r="D703" s="317" t="s">
        <v>736</v>
      </c>
      <c r="E703" s="317" t="s">
        <v>1324</v>
      </c>
      <c r="F703" s="312">
        <v>960000</v>
      </c>
      <c r="G703" s="312">
        <v>960000</v>
      </c>
      <c r="H703" s="123" t="str">
        <f t="shared" si="11"/>
        <v>05011050080000300</v>
      </c>
    </row>
    <row r="704" spans="1:8">
      <c r="A704" s="316" t="s">
        <v>531</v>
      </c>
      <c r="B704" s="317" t="s">
        <v>66</v>
      </c>
      <c r="C704" s="317" t="s">
        <v>386</v>
      </c>
      <c r="D704" s="317" t="s">
        <v>736</v>
      </c>
      <c r="E704" s="317" t="s">
        <v>532</v>
      </c>
      <c r="F704" s="312">
        <v>960000</v>
      </c>
      <c r="G704" s="312">
        <v>960000</v>
      </c>
      <c r="H704" s="123" t="str">
        <f t="shared" si="11"/>
        <v>05011050080000360</v>
      </c>
    </row>
    <row r="705" spans="1:8">
      <c r="A705" s="316" t="s">
        <v>141</v>
      </c>
      <c r="B705" s="317" t="s">
        <v>66</v>
      </c>
      <c r="C705" s="317" t="s">
        <v>1143</v>
      </c>
      <c r="D705" s="317" t="s">
        <v>1173</v>
      </c>
      <c r="E705" s="317" t="s">
        <v>1173</v>
      </c>
      <c r="F705" s="312">
        <v>2889311.34</v>
      </c>
      <c r="G705" s="312">
        <v>4630452.25</v>
      </c>
      <c r="H705" s="123" t="str">
        <f t="shared" si="11"/>
        <v>1000</v>
      </c>
    </row>
    <row r="706" spans="1:8">
      <c r="A706" s="316" t="s">
        <v>98</v>
      </c>
      <c r="B706" s="317" t="s">
        <v>66</v>
      </c>
      <c r="C706" s="317" t="s">
        <v>378</v>
      </c>
      <c r="D706" s="317" t="s">
        <v>1173</v>
      </c>
      <c r="E706" s="317" t="s">
        <v>1173</v>
      </c>
      <c r="F706" s="312">
        <v>2889311.34</v>
      </c>
      <c r="G706" s="312">
        <v>2966252.25</v>
      </c>
      <c r="H706" s="123" t="str">
        <f t="shared" si="11"/>
        <v>1003</v>
      </c>
    </row>
    <row r="707" spans="1:8" ht="25.5">
      <c r="A707" s="316" t="s">
        <v>466</v>
      </c>
      <c r="B707" s="317" t="s">
        <v>66</v>
      </c>
      <c r="C707" s="317" t="s">
        <v>378</v>
      </c>
      <c r="D707" s="317" t="s">
        <v>985</v>
      </c>
      <c r="E707" s="317" t="s">
        <v>1173</v>
      </c>
      <c r="F707" s="312">
        <v>2889311.34</v>
      </c>
      <c r="G707" s="312">
        <v>2966252.25</v>
      </c>
      <c r="H707" s="123" t="str">
        <f t="shared" si="11"/>
        <v>10030600000000</v>
      </c>
    </row>
    <row r="708" spans="1:8" ht="25.5">
      <c r="A708" s="316" t="s">
        <v>471</v>
      </c>
      <c r="B708" s="317" t="s">
        <v>66</v>
      </c>
      <c r="C708" s="317" t="s">
        <v>378</v>
      </c>
      <c r="D708" s="317" t="s">
        <v>2082</v>
      </c>
      <c r="E708" s="317" t="s">
        <v>1173</v>
      </c>
      <c r="F708" s="312">
        <v>2889311.34</v>
      </c>
      <c r="G708" s="312">
        <v>2966252.25</v>
      </c>
      <c r="H708" s="123" t="str">
        <f t="shared" si="11"/>
        <v>10030630000000</v>
      </c>
    </row>
    <row r="709" spans="1:8" ht="102">
      <c r="A709" s="316" t="s">
        <v>1516</v>
      </c>
      <c r="B709" s="317" t="s">
        <v>66</v>
      </c>
      <c r="C709" s="317" t="s">
        <v>378</v>
      </c>
      <c r="D709" s="317" t="s">
        <v>1231</v>
      </c>
      <c r="E709" s="317" t="s">
        <v>1173</v>
      </c>
      <c r="F709" s="312">
        <v>2889311.34</v>
      </c>
      <c r="G709" s="312">
        <v>2966252.25</v>
      </c>
      <c r="H709" s="123" t="str">
        <f t="shared" si="11"/>
        <v>100306300L4970</v>
      </c>
    </row>
    <row r="710" spans="1:8" ht="25.5">
      <c r="A710" s="316" t="s">
        <v>1323</v>
      </c>
      <c r="B710" s="317" t="s">
        <v>66</v>
      </c>
      <c r="C710" s="317" t="s">
        <v>378</v>
      </c>
      <c r="D710" s="317" t="s">
        <v>1231</v>
      </c>
      <c r="E710" s="317" t="s">
        <v>1324</v>
      </c>
      <c r="F710" s="312">
        <v>2889311.34</v>
      </c>
      <c r="G710" s="312">
        <v>2966252.25</v>
      </c>
      <c r="H710" s="123" t="str">
        <f t="shared" si="11"/>
        <v>100306300L4970300</v>
      </c>
    </row>
    <row r="711" spans="1:8" ht="38.25">
      <c r="A711" s="316" t="s">
        <v>1200</v>
      </c>
      <c r="B711" s="317" t="s">
        <v>66</v>
      </c>
      <c r="C711" s="317" t="s">
        <v>378</v>
      </c>
      <c r="D711" s="317" t="s">
        <v>1231</v>
      </c>
      <c r="E711" s="317" t="s">
        <v>557</v>
      </c>
      <c r="F711" s="312">
        <v>2889311.34</v>
      </c>
      <c r="G711" s="312">
        <v>2966252.25</v>
      </c>
      <c r="H711" s="123" t="str">
        <f t="shared" si="11"/>
        <v>100306300L4970320</v>
      </c>
    </row>
    <row r="712" spans="1:8" ht="25.5">
      <c r="A712" s="316" t="s">
        <v>2083</v>
      </c>
      <c r="B712" s="317" t="s">
        <v>66</v>
      </c>
      <c r="C712" s="317" t="s">
        <v>378</v>
      </c>
      <c r="D712" s="317" t="s">
        <v>1231</v>
      </c>
      <c r="E712" s="317" t="s">
        <v>602</v>
      </c>
      <c r="F712" s="312">
        <v>2889311.34</v>
      </c>
      <c r="G712" s="312">
        <v>2966252.25</v>
      </c>
      <c r="H712" s="123" t="str">
        <f t="shared" si="11"/>
        <v>100306300L4970322</v>
      </c>
    </row>
    <row r="713" spans="1:8">
      <c r="A713" s="316" t="s">
        <v>18</v>
      </c>
      <c r="B713" s="317" t="s">
        <v>66</v>
      </c>
      <c r="C713" s="317" t="s">
        <v>423</v>
      </c>
      <c r="D713" s="317" t="s">
        <v>1173</v>
      </c>
      <c r="E713" s="317" t="s">
        <v>1173</v>
      </c>
      <c r="F713" s="312">
        <v>0</v>
      </c>
      <c r="G713" s="312">
        <v>1664200</v>
      </c>
      <c r="H713" s="123" t="str">
        <f t="shared" si="11"/>
        <v>1004</v>
      </c>
    </row>
    <row r="714" spans="1:8" ht="25.5">
      <c r="A714" s="316" t="s">
        <v>442</v>
      </c>
      <c r="B714" s="317" t="s">
        <v>66</v>
      </c>
      <c r="C714" s="317" t="s">
        <v>423</v>
      </c>
      <c r="D714" s="317" t="s">
        <v>971</v>
      </c>
      <c r="E714" s="317" t="s">
        <v>1173</v>
      </c>
      <c r="F714" s="312">
        <v>0</v>
      </c>
      <c r="G714" s="312">
        <v>1664200</v>
      </c>
      <c r="H714" s="123" t="str">
        <f t="shared" si="11"/>
        <v>10040100000000</v>
      </c>
    </row>
    <row r="715" spans="1:8" ht="51">
      <c r="A715" s="316" t="s">
        <v>445</v>
      </c>
      <c r="B715" s="317" t="s">
        <v>66</v>
      </c>
      <c r="C715" s="317" t="s">
        <v>423</v>
      </c>
      <c r="D715" s="317" t="s">
        <v>1134</v>
      </c>
      <c r="E715" s="317" t="s">
        <v>1173</v>
      </c>
      <c r="F715" s="312">
        <v>0</v>
      </c>
      <c r="G715" s="312">
        <v>1664200</v>
      </c>
      <c r="H715" s="123" t="str">
        <f t="shared" si="11"/>
        <v>10040120000000</v>
      </c>
    </row>
    <row r="716" spans="1:8" ht="165.75">
      <c r="A716" s="316" t="s">
        <v>1352</v>
      </c>
      <c r="B716" s="317" t="s">
        <v>66</v>
      </c>
      <c r="C716" s="317" t="s">
        <v>423</v>
      </c>
      <c r="D716" s="317" t="s">
        <v>1353</v>
      </c>
      <c r="E716" s="317" t="s">
        <v>1173</v>
      </c>
      <c r="F716" s="312">
        <v>0</v>
      </c>
      <c r="G716" s="312">
        <v>1664200</v>
      </c>
      <c r="H716" s="123" t="str">
        <f t="shared" si="11"/>
        <v>10040120075870</v>
      </c>
    </row>
    <row r="717" spans="1:8" ht="38.25">
      <c r="A717" s="316" t="s">
        <v>1325</v>
      </c>
      <c r="B717" s="317" t="s">
        <v>66</v>
      </c>
      <c r="C717" s="317" t="s">
        <v>423</v>
      </c>
      <c r="D717" s="317" t="s">
        <v>1353</v>
      </c>
      <c r="E717" s="317" t="s">
        <v>1326</v>
      </c>
      <c r="F717" s="312">
        <v>0</v>
      </c>
      <c r="G717" s="312">
        <v>1664200</v>
      </c>
      <c r="H717" s="123" t="str">
        <f t="shared" si="11"/>
        <v>10040120075870400</v>
      </c>
    </row>
    <row r="718" spans="1:8">
      <c r="A718" s="316" t="s">
        <v>1207</v>
      </c>
      <c r="B718" s="317" t="s">
        <v>66</v>
      </c>
      <c r="C718" s="317" t="s">
        <v>423</v>
      </c>
      <c r="D718" s="317" t="s">
        <v>1353</v>
      </c>
      <c r="E718" s="317" t="s">
        <v>75</v>
      </c>
      <c r="F718" s="312">
        <v>0</v>
      </c>
      <c r="G718" s="312">
        <v>1664200</v>
      </c>
      <c r="H718" s="123" t="str">
        <f t="shared" si="11"/>
        <v>10040120075870410</v>
      </c>
    </row>
    <row r="719" spans="1:8" ht="51">
      <c r="A719" s="316" t="s">
        <v>404</v>
      </c>
      <c r="B719" s="317" t="s">
        <v>66</v>
      </c>
      <c r="C719" s="317" t="s">
        <v>423</v>
      </c>
      <c r="D719" s="317" t="s">
        <v>1353</v>
      </c>
      <c r="E719" s="317" t="s">
        <v>405</v>
      </c>
      <c r="F719" s="312">
        <v>0</v>
      </c>
      <c r="G719" s="312">
        <v>1664200</v>
      </c>
      <c r="H719" s="123" t="str">
        <f t="shared" si="11"/>
        <v>10040120075870412</v>
      </c>
    </row>
    <row r="720" spans="1:8" ht="25.5">
      <c r="A720" s="316" t="s">
        <v>254</v>
      </c>
      <c r="B720" s="317" t="s">
        <v>207</v>
      </c>
      <c r="C720" s="317" t="s">
        <v>1173</v>
      </c>
      <c r="D720" s="317" t="s">
        <v>1173</v>
      </c>
      <c r="E720" s="317" t="s">
        <v>1173</v>
      </c>
      <c r="F720" s="312">
        <v>1470045800</v>
      </c>
      <c r="G720" s="312">
        <v>1409713600</v>
      </c>
      <c r="H720" s="123" t="str">
        <f t="shared" si="11"/>
        <v/>
      </c>
    </row>
    <row r="721" spans="1:8">
      <c r="A721" s="316" t="s">
        <v>140</v>
      </c>
      <c r="B721" s="317" t="s">
        <v>207</v>
      </c>
      <c r="C721" s="317" t="s">
        <v>1142</v>
      </c>
      <c r="D721" s="317" t="s">
        <v>1173</v>
      </c>
      <c r="E721" s="317" t="s">
        <v>1173</v>
      </c>
      <c r="F721" s="312">
        <v>1405624544</v>
      </c>
      <c r="G721" s="312">
        <v>1344558244</v>
      </c>
      <c r="H721" s="123" t="str">
        <f t="shared" si="11"/>
        <v>0700</v>
      </c>
    </row>
    <row r="722" spans="1:8">
      <c r="A722" s="316" t="s">
        <v>152</v>
      </c>
      <c r="B722" s="317" t="s">
        <v>207</v>
      </c>
      <c r="C722" s="317" t="s">
        <v>408</v>
      </c>
      <c r="D722" s="317" t="s">
        <v>1173</v>
      </c>
      <c r="E722" s="317" t="s">
        <v>1173</v>
      </c>
      <c r="F722" s="312">
        <v>434465894</v>
      </c>
      <c r="G722" s="312">
        <v>434465894</v>
      </c>
      <c r="H722" s="123" t="str">
        <f t="shared" si="11"/>
        <v>0701</v>
      </c>
    </row>
    <row r="723" spans="1:8" ht="25.5">
      <c r="A723" s="316" t="s">
        <v>442</v>
      </c>
      <c r="B723" s="317" t="s">
        <v>207</v>
      </c>
      <c r="C723" s="317" t="s">
        <v>408</v>
      </c>
      <c r="D723" s="317" t="s">
        <v>971</v>
      </c>
      <c r="E723" s="317" t="s">
        <v>1173</v>
      </c>
      <c r="F723" s="312">
        <v>434465894</v>
      </c>
      <c r="G723" s="312">
        <v>434465894</v>
      </c>
      <c r="H723" s="123" t="str">
        <f t="shared" si="11"/>
        <v>07010100000000</v>
      </c>
    </row>
    <row r="724" spans="1:8" ht="38.25">
      <c r="A724" s="316" t="s">
        <v>443</v>
      </c>
      <c r="B724" s="317" t="s">
        <v>207</v>
      </c>
      <c r="C724" s="317" t="s">
        <v>408</v>
      </c>
      <c r="D724" s="317" t="s">
        <v>972</v>
      </c>
      <c r="E724" s="317" t="s">
        <v>1173</v>
      </c>
      <c r="F724" s="312">
        <v>434465894</v>
      </c>
      <c r="G724" s="312">
        <v>434465894</v>
      </c>
      <c r="H724" s="123" t="str">
        <f t="shared" si="11"/>
        <v>07010110000000</v>
      </c>
    </row>
    <row r="725" spans="1:8" ht="140.25">
      <c r="A725" s="316" t="s">
        <v>410</v>
      </c>
      <c r="B725" s="317" t="s">
        <v>207</v>
      </c>
      <c r="C725" s="317" t="s">
        <v>408</v>
      </c>
      <c r="D725" s="317" t="s">
        <v>742</v>
      </c>
      <c r="E725" s="317" t="s">
        <v>1173</v>
      </c>
      <c r="F725" s="312">
        <v>48626048</v>
      </c>
      <c r="G725" s="312">
        <v>48626048</v>
      </c>
      <c r="H725" s="123" t="str">
        <f t="shared" si="11"/>
        <v>07010110040010</v>
      </c>
    </row>
    <row r="726" spans="1:8" ht="76.5">
      <c r="A726" s="316" t="s">
        <v>1318</v>
      </c>
      <c r="B726" s="317" t="s">
        <v>207</v>
      </c>
      <c r="C726" s="317" t="s">
        <v>408</v>
      </c>
      <c r="D726" s="317" t="s">
        <v>742</v>
      </c>
      <c r="E726" s="317" t="s">
        <v>273</v>
      </c>
      <c r="F726" s="312">
        <v>29328895</v>
      </c>
      <c r="G726" s="312">
        <v>29328895</v>
      </c>
      <c r="H726" s="123" t="str">
        <f t="shared" si="11"/>
        <v>07010110040010100</v>
      </c>
    </row>
    <row r="727" spans="1:8" ht="25.5">
      <c r="A727" s="316" t="s">
        <v>1190</v>
      </c>
      <c r="B727" s="317" t="s">
        <v>207</v>
      </c>
      <c r="C727" s="317" t="s">
        <v>408</v>
      </c>
      <c r="D727" s="317" t="s">
        <v>742</v>
      </c>
      <c r="E727" s="317" t="s">
        <v>133</v>
      </c>
      <c r="F727" s="312">
        <v>29328895</v>
      </c>
      <c r="G727" s="312">
        <v>29328895</v>
      </c>
      <c r="H727" s="123" t="str">
        <f t="shared" si="11"/>
        <v>07010110040010110</v>
      </c>
    </row>
    <row r="728" spans="1:8">
      <c r="A728" s="316" t="s">
        <v>1138</v>
      </c>
      <c r="B728" s="317" t="s">
        <v>207</v>
      </c>
      <c r="C728" s="317" t="s">
        <v>408</v>
      </c>
      <c r="D728" s="317" t="s">
        <v>742</v>
      </c>
      <c r="E728" s="317" t="s">
        <v>342</v>
      </c>
      <c r="F728" s="312">
        <v>22651184</v>
      </c>
      <c r="G728" s="312">
        <v>22651184</v>
      </c>
      <c r="H728" s="123" t="str">
        <f t="shared" si="11"/>
        <v>07010110040010111</v>
      </c>
    </row>
    <row r="729" spans="1:8" ht="51">
      <c r="A729" s="316" t="s">
        <v>1139</v>
      </c>
      <c r="B729" s="317" t="s">
        <v>207</v>
      </c>
      <c r="C729" s="317" t="s">
        <v>408</v>
      </c>
      <c r="D729" s="317" t="s">
        <v>742</v>
      </c>
      <c r="E729" s="317" t="s">
        <v>1056</v>
      </c>
      <c r="F729" s="312">
        <v>6677711</v>
      </c>
      <c r="G729" s="312">
        <v>6677711</v>
      </c>
      <c r="H729" s="123" t="str">
        <f t="shared" si="11"/>
        <v>07010110040010119</v>
      </c>
    </row>
    <row r="730" spans="1:8" ht="38.25">
      <c r="A730" s="316" t="s">
        <v>1319</v>
      </c>
      <c r="B730" s="317" t="s">
        <v>207</v>
      </c>
      <c r="C730" s="317" t="s">
        <v>408</v>
      </c>
      <c r="D730" s="317" t="s">
        <v>742</v>
      </c>
      <c r="E730" s="317" t="s">
        <v>1320</v>
      </c>
      <c r="F730" s="312">
        <v>19237153</v>
      </c>
      <c r="G730" s="312">
        <v>19237153</v>
      </c>
      <c r="H730" s="123" t="str">
        <f t="shared" si="11"/>
        <v>07010110040010200</v>
      </c>
    </row>
    <row r="731" spans="1:8" ht="38.25">
      <c r="A731" s="316" t="s">
        <v>1196</v>
      </c>
      <c r="B731" s="317" t="s">
        <v>207</v>
      </c>
      <c r="C731" s="317" t="s">
        <v>408</v>
      </c>
      <c r="D731" s="317" t="s">
        <v>742</v>
      </c>
      <c r="E731" s="317" t="s">
        <v>1197</v>
      </c>
      <c r="F731" s="312">
        <v>19237153</v>
      </c>
      <c r="G731" s="312">
        <v>19237153</v>
      </c>
      <c r="H731" s="123" t="str">
        <f t="shared" si="11"/>
        <v>07010110040010240</v>
      </c>
    </row>
    <row r="732" spans="1:8">
      <c r="A732" s="316" t="s">
        <v>1223</v>
      </c>
      <c r="B732" s="317" t="s">
        <v>207</v>
      </c>
      <c r="C732" s="317" t="s">
        <v>408</v>
      </c>
      <c r="D732" s="317" t="s">
        <v>742</v>
      </c>
      <c r="E732" s="317" t="s">
        <v>329</v>
      </c>
      <c r="F732" s="312">
        <v>19237153</v>
      </c>
      <c r="G732" s="312">
        <v>19237153</v>
      </c>
      <c r="H732" s="123" t="str">
        <f t="shared" si="11"/>
        <v>07010110040010244</v>
      </c>
    </row>
    <row r="733" spans="1:8">
      <c r="A733" s="316" t="s">
        <v>1321</v>
      </c>
      <c r="B733" s="317" t="s">
        <v>207</v>
      </c>
      <c r="C733" s="317" t="s">
        <v>408</v>
      </c>
      <c r="D733" s="317" t="s">
        <v>742</v>
      </c>
      <c r="E733" s="317" t="s">
        <v>1322</v>
      </c>
      <c r="F733" s="312">
        <v>60000</v>
      </c>
      <c r="G733" s="312">
        <v>60000</v>
      </c>
      <c r="H733" s="123" t="str">
        <f t="shared" si="11"/>
        <v>07010110040010800</v>
      </c>
    </row>
    <row r="734" spans="1:8">
      <c r="A734" s="316" t="s">
        <v>1201</v>
      </c>
      <c r="B734" s="317" t="s">
        <v>207</v>
      </c>
      <c r="C734" s="317" t="s">
        <v>408</v>
      </c>
      <c r="D734" s="317" t="s">
        <v>742</v>
      </c>
      <c r="E734" s="317" t="s">
        <v>1202</v>
      </c>
      <c r="F734" s="312">
        <v>60000</v>
      </c>
      <c r="G734" s="312">
        <v>60000</v>
      </c>
      <c r="H734" s="123" t="str">
        <f t="shared" si="11"/>
        <v>07010110040010850</v>
      </c>
    </row>
    <row r="735" spans="1:8">
      <c r="A735" s="316" t="s">
        <v>1057</v>
      </c>
      <c r="B735" s="317" t="s">
        <v>207</v>
      </c>
      <c r="C735" s="317" t="s">
        <v>408</v>
      </c>
      <c r="D735" s="317" t="s">
        <v>742</v>
      </c>
      <c r="E735" s="317" t="s">
        <v>1058</v>
      </c>
      <c r="F735" s="312">
        <v>60000</v>
      </c>
      <c r="G735" s="312">
        <v>60000</v>
      </c>
      <c r="H735" s="123" t="str">
        <f t="shared" si="11"/>
        <v>07010110040010853</v>
      </c>
    </row>
    <row r="736" spans="1:8" ht="191.25">
      <c r="A736" s="316" t="s">
        <v>572</v>
      </c>
      <c r="B736" s="317" t="s">
        <v>207</v>
      </c>
      <c r="C736" s="317" t="s">
        <v>408</v>
      </c>
      <c r="D736" s="317" t="s">
        <v>743</v>
      </c>
      <c r="E736" s="317" t="s">
        <v>1173</v>
      </c>
      <c r="F736" s="312">
        <v>48282846</v>
      </c>
      <c r="G736" s="312">
        <v>48282846</v>
      </c>
      <c r="H736" s="123" t="str">
        <f t="shared" si="11"/>
        <v>07010110041010</v>
      </c>
    </row>
    <row r="737" spans="1:8" ht="76.5">
      <c r="A737" s="316" t="s">
        <v>1318</v>
      </c>
      <c r="B737" s="317" t="s">
        <v>207</v>
      </c>
      <c r="C737" s="317" t="s">
        <v>408</v>
      </c>
      <c r="D737" s="317" t="s">
        <v>743</v>
      </c>
      <c r="E737" s="317" t="s">
        <v>273</v>
      </c>
      <c r="F737" s="312">
        <v>48282846</v>
      </c>
      <c r="G737" s="312">
        <v>48282846</v>
      </c>
      <c r="H737" s="123" t="str">
        <f t="shared" si="11"/>
        <v>07010110041010100</v>
      </c>
    </row>
    <row r="738" spans="1:8" ht="25.5">
      <c r="A738" s="316" t="s">
        <v>1190</v>
      </c>
      <c r="B738" s="317" t="s">
        <v>207</v>
      </c>
      <c r="C738" s="317" t="s">
        <v>408</v>
      </c>
      <c r="D738" s="317" t="s">
        <v>743</v>
      </c>
      <c r="E738" s="317" t="s">
        <v>133</v>
      </c>
      <c r="F738" s="312">
        <v>48282846</v>
      </c>
      <c r="G738" s="312">
        <v>48282846</v>
      </c>
      <c r="H738" s="123" t="str">
        <f t="shared" si="11"/>
        <v>07010110041010110</v>
      </c>
    </row>
    <row r="739" spans="1:8">
      <c r="A739" s="316" t="s">
        <v>1138</v>
      </c>
      <c r="B739" s="317" t="s">
        <v>207</v>
      </c>
      <c r="C739" s="317" t="s">
        <v>408</v>
      </c>
      <c r="D739" s="317" t="s">
        <v>743</v>
      </c>
      <c r="E739" s="317" t="s">
        <v>342</v>
      </c>
      <c r="F739" s="312">
        <v>37085000</v>
      </c>
      <c r="G739" s="312">
        <v>37085000</v>
      </c>
      <c r="H739" s="123" t="str">
        <f t="shared" si="11"/>
        <v>07010110041010111</v>
      </c>
    </row>
    <row r="740" spans="1:8" ht="51">
      <c r="A740" s="316" t="s">
        <v>1139</v>
      </c>
      <c r="B740" s="317" t="s">
        <v>207</v>
      </c>
      <c r="C740" s="317" t="s">
        <v>408</v>
      </c>
      <c r="D740" s="317" t="s">
        <v>743</v>
      </c>
      <c r="E740" s="317" t="s">
        <v>1056</v>
      </c>
      <c r="F740" s="312">
        <v>11197846</v>
      </c>
      <c r="G740" s="312">
        <v>11197846</v>
      </c>
      <c r="H740" s="123" t="str">
        <f t="shared" si="11"/>
        <v>07010110041010119</v>
      </c>
    </row>
    <row r="741" spans="1:8" ht="140.25">
      <c r="A741" s="316" t="s">
        <v>573</v>
      </c>
      <c r="B741" s="317" t="s">
        <v>207</v>
      </c>
      <c r="C741" s="317" t="s">
        <v>408</v>
      </c>
      <c r="D741" s="317" t="s">
        <v>744</v>
      </c>
      <c r="E741" s="317" t="s">
        <v>1173</v>
      </c>
      <c r="F741" s="312">
        <v>839000</v>
      </c>
      <c r="G741" s="312">
        <v>839000</v>
      </c>
      <c r="H741" s="123" t="str">
        <f t="shared" si="11"/>
        <v>07010110047010</v>
      </c>
    </row>
    <row r="742" spans="1:8" ht="76.5">
      <c r="A742" s="316" t="s">
        <v>1318</v>
      </c>
      <c r="B742" s="317" t="s">
        <v>207</v>
      </c>
      <c r="C742" s="317" t="s">
        <v>408</v>
      </c>
      <c r="D742" s="317" t="s">
        <v>744</v>
      </c>
      <c r="E742" s="317" t="s">
        <v>273</v>
      </c>
      <c r="F742" s="312">
        <v>839000</v>
      </c>
      <c r="G742" s="312">
        <v>839000</v>
      </c>
      <c r="H742" s="123" t="str">
        <f t="shared" ref="H742:H805" si="12">CONCATENATE(C742,,D742,E742)</f>
        <v>07010110047010100</v>
      </c>
    </row>
    <row r="743" spans="1:8" ht="25.5">
      <c r="A743" s="316" t="s">
        <v>1190</v>
      </c>
      <c r="B743" s="317" t="s">
        <v>207</v>
      </c>
      <c r="C743" s="317" t="s">
        <v>408</v>
      </c>
      <c r="D743" s="317" t="s">
        <v>744</v>
      </c>
      <c r="E743" s="317" t="s">
        <v>133</v>
      </c>
      <c r="F743" s="312">
        <v>839000</v>
      </c>
      <c r="G743" s="312">
        <v>839000</v>
      </c>
      <c r="H743" s="123" t="str">
        <f t="shared" si="12"/>
        <v>07010110047010110</v>
      </c>
    </row>
    <row r="744" spans="1:8" ht="25.5">
      <c r="A744" s="316" t="s">
        <v>1147</v>
      </c>
      <c r="B744" s="317" t="s">
        <v>207</v>
      </c>
      <c r="C744" s="317" t="s">
        <v>408</v>
      </c>
      <c r="D744" s="317" t="s">
        <v>744</v>
      </c>
      <c r="E744" s="317" t="s">
        <v>391</v>
      </c>
      <c r="F744" s="312">
        <v>839000</v>
      </c>
      <c r="G744" s="312">
        <v>839000</v>
      </c>
      <c r="H744" s="123" t="str">
        <f t="shared" si="12"/>
        <v>07010110047010112</v>
      </c>
    </row>
    <row r="745" spans="1:8" ht="153">
      <c r="A745" s="316" t="s">
        <v>574</v>
      </c>
      <c r="B745" s="317" t="s">
        <v>207</v>
      </c>
      <c r="C745" s="317" t="s">
        <v>408</v>
      </c>
      <c r="D745" s="317" t="s">
        <v>745</v>
      </c>
      <c r="E745" s="317" t="s">
        <v>1173</v>
      </c>
      <c r="F745" s="312">
        <v>42387100</v>
      </c>
      <c r="G745" s="312">
        <v>42387100</v>
      </c>
      <c r="H745" s="123" t="str">
        <f t="shared" si="12"/>
        <v>0701011004Г010</v>
      </c>
    </row>
    <row r="746" spans="1:8" ht="38.25">
      <c r="A746" s="316" t="s">
        <v>1319</v>
      </c>
      <c r="B746" s="317" t="s">
        <v>207</v>
      </c>
      <c r="C746" s="317" t="s">
        <v>408</v>
      </c>
      <c r="D746" s="317" t="s">
        <v>745</v>
      </c>
      <c r="E746" s="317" t="s">
        <v>1320</v>
      </c>
      <c r="F746" s="312">
        <v>42387100</v>
      </c>
      <c r="G746" s="312">
        <v>42387100</v>
      </c>
      <c r="H746" s="123" t="str">
        <f t="shared" si="12"/>
        <v>0701011004Г010200</v>
      </c>
    </row>
    <row r="747" spans="1:8" ht="38.25">
      <c r="A747" s="316" t="s">
        <v>1196</v>
      </c>
      <c r="B747" s="317" t="s">
        <v>207</v>
      </c>
      <c r="C747" s="317" t="s">
        <v>408</v>
      </c>
      <c r="D747" s="317" t="s">
        <v>745</v>
      </c>
      <c r="E747" s="317" t="s">
        <v>1197</v>
      </c>
      <c r="F747" s="312">
        <v>42387100</v>
      </c>
      <c r="G747" s="312">
        <v>42387100</v>
      </c>
      <c r="H747" s="123" t="str">
        <f t="shared" si="12"/>
        <v>0701011004Г010240</v>
      </c>
    </row>
    <row r="748" spans="1:8">
      <c r="A748" s="316" t="s">
        <v>1223</v>
      </c>
      <c r="B748" s="317" t="s">
        <v>207</v>
      </c>
      <c r="C748" s="317" t="s">
        <v>408</v>
      </c>
      <c r="D748" s="317" t="s">
        <v>745</v>
      </c>
      <c r="E748" s="317" t="s">
        <v>329</v>
      </c>
      <c r="F748" s="312">
        <v>4723600</v>
      </c>
      <c r="G748" s="312">
        <v>4723600</v>
      </c>
      <c r="H748" s="123" t="str">
        <f t="shared" si="12"/>
        <v>0701011004Г010244</v>
      </c>
    </row>
    <row r="749" spans="1:8">
      <c r="A749" s="316" t="s">
        <v>1699</v>
      </c>
      <c r="B749" s="317" t="s">
        <v>207</v>
      </c>
      <c r="C749" s="317" t="s">
        <v>408</v>
      </c>
      <c r="D749" s="317" t="s">
        <v>745</v>
      </c>
      <c r="E749" s="317" t="s">
        <v>1700</v>
      </c>
      <c r="F749" s="312">
        <v>37663500</v>
      </c>
      <c r="G749" s="312">
        <v>37663500</v>
      </c>
      <c r="H749" s="123" t="str">
        <f t="shared" si="12"/>
        <v>0701011004Г010247</v>
      </c>
    </row>
    <row r="750" spans="1:8" ht="153">
      <c r="A750" s="316" t="s">
        <v>1781</v>
      </c>
      <c r="B750" s="317" t="s">
        <v>207</v>
      </c>
      <c r="C750" s="317" t="s">
        <v>408</v>
      </c>
      <c r="D750" s="317" t="s">
        <v>1782</v>
      </c>
      <c r="E750" s="317" t="s">
        <v>1173</v>
      </c>
      <c r="F750" s="312">
        <v>874300</v>
      </c>
      <c r="G750" s="312">
        <v>874300</v>
      </c>
      <c r="H750" s="123" t="str">
        <f t="shared" si="12"/>
        <v>0701011004М010</v>
      </c>
    </row>
    <row r="751" spans="1:8" ht="38.25">
      <c r="A751" s="316" t="s">
        <v>1319</v>
      </c>
      <c r="B751" s="317" t="s">
        <v>207</v>
      </c>
      <c r="C751" s="317" t="s">
        <v>408</v>
      </c>
      <c r="D751" s="317" t="s">
        <v>1782</v>
      </c>
      <c r="E751" s="317" t="s">
        <v>1320</v>
      </c>
      <c r="F751" s="312">
        <v>874300</v>
      </c>
      <c r="G751" s="312">
        <v>874300</v>
      </c>
      <c r="H751" s="123" t="str">
        <f t="shared" si="12"/>
        <v>0701011004М010200</v>
      </c>
    </row>
    <row r="752" spans="1:8" ht="38.25">
      <c r="A752" s="316" t="s">
        <v>1196</v>
      </c>
      <c r="B752" s="317" t="s">
        <v>207</v>
      </c>
      <c r="C752" s="317" t="s">
        <v>408</v>
      </c>
      <c r="D752" s="317" t="s">
        <v>1782</v>
      </c>
      <c r="E752" s="317" t="s">
        <v>1197</v>
      </c>
      <c r="F752" s="312">
        <v>874300</v>
      </c>
      <c r="G752" s="312">
        <v>874300</v>
      </c>
      <c r="H752" s="123" t="str">
        <f t="shared" si="12"/>
        <v>0701011004М010240</v>
      </c>
    </row>
    <row r="753" spans="1:8">
      <c r="A753" s="316" t="s">
        <v>1223</v>
      </c>
      <c r="B753" s="317" t="s">
        <v>207</v>
      </c>
      <c r="C753" s="317" t="s">
        <v>408</v>
      </c>
      <c r="D753" s="317" t="s">
        <v>1782</v>
      </c>
      <c r="E753" s="317" t="s">
        <v>329</v>
      </c>
      <c r="F753" s="312">
        <v>874300</v>
      </c>
      <c r="G753" s="312">
        <v>874300</v>
      </c>
      <c r="H753" s="123" t="str">
        <f t="shared" si="12"/>
        <v>0701011004М010244</v>
      </c>
    </row>
    <row r="754" spans="1:8" ht="127.5">
      <c r="A754" s="316" t="s">
        <v>575</v>
      </c>
      <c r="B754" s="317" t="s">
        <v>207</v>
      </c>
      <c r="C754" s="317" t="s">
        <v>408</v>
      </c>
      <c r="D754" s="317" t="s">
        <v>746</v>
      </c>
      <c r="E754" s="317" t="s">
        <v>1173</v>
      </c>
      <c r="F754" s="312">
        <v>41000000</v>
      </c>
      <c r="G754" s="312">
        <v>41000000</v>
      </c>
      <c r="H754" s="123" t="str">
        <f t="shared" si="12"/>
        <v>0701011004П010</v>
      </c>
    </row>
    <row r="755" spans="1:8" ht="38.25">
      <c r="A755" s="316" t="s">
        <v>1319</v>
      </c>
      <c r="B755" s="317" t="s">
        <v>207</v>
      </c>
      <c r="C755" s="317" t="s">
        <v>408</v>
      </c>
      <c r="D755" s="317" t="s">
        <v>746</v>
      </c>
      <c r="E755" s="317" t="s">
        <v>1320</v>
      </c>
      <c r="F755" s="312">
        <v>41000000</v>
      </c>
      <c r="G755" s="312">
        <v>41000000</v>
      </c>
      <c r="H755" s="123" t="str">
        <f t="shared" si="12"/>
        <v>0701011004П010200</v>
      </c>
    </row>
    <row r="756" spans="1:8" ht="38.25">
      <c r="A756" s="316" t="s">
        <v>1196</v>
      </c>
      <c r="B756" s="317" t="s">
        <v>207</v>
      </c>
      <c r="C756" s="317" t="s">
        <v>408</v>
      </c>
      <c r="D756" s="317" t="s">
        <v>746</v>
      </c>
      <c r="E756" s="317" t="s">
        <v>1197</v>
      </c>
      <c r="F756" s="312">
        <v>41000000</v>
      </c>
      <c r="G756" s="312">
        <v>41000000</v>
      </c>
      <c r="H756" s="123" t="str">
        <f t="shared" si="12"/>
        <v>0701011004П010240</v>
      </c>
    </row>
    <row r="757" spans="1:8">
      <c r="A757" s="316" t="s">
        <v>1223</v>
      </c>
      <c r="B757" s="317" t="s">
        <v>207</v>
      </c>
      <c r="C757" s="317" t="s">
        <v>408</v>
      </c>
      <c r="D757" s="317" t="s">
        <v>746</v>
      </c>
      <c r="E757" s="317" t="s">
        <v>329</v>
      </c>
      <c r="F757" s="312">
        <v>41000000</v>
      </c>
      <c r="G757" s="312">
        <v>41000000</v>
      </c>
      <c r="H757" s="123" t="str">
        <f t="shared" si="12"/>
        <v>0701011004П010244</v>
      </c>
    </row>
    <row r="758" spans="1:8" ht="127.5">
      <c r="A758" s="316" t="s">
        <v>962</v>
      </c>
      <c r="B758" s="317" t="s">
        <v>207</v>
      </c>
      <c r="C758" s="317" t="s">
        <v>408</v>
      </c>
      <c r="D758" s="317" t="s">
        <v>963</v>
      </c>
      <c r="E758" s="317" t="s">
        <v>1173</v>
      </c>
      <c r="F758" s="312">
        <v>10215000</v>
      </c>
      <c r="G758" s="312">
        <v>10215000</v>
      </c>
      <c r="H758" s="123" t="str">
        <f t="shared" si="12"/>
        <v>0701011004Э010</v>
      </c>
    </row>
    <row r="759" spans="1:8" ht="38.25">
      <c r="A759" s="316" t="s">
        <v>1319</v>
      </c>
      <c r="B759" s="317" t="s">
        <v>207</v>
      </c>
      <c r="C759" s="317" t="s">
        <v>408</v>
      </c>
      <c r="D759" s="317" t="s">
        <v>963</v>
      </c>
      <c r="E759" s="317" t="s">
        <v>1320</v>
      </c>
      <c r="F759" s="312">
        <v>10215000</v>
      </c>
      <c r="G759" s="312">
        <v>10215000</v>
      </c>
      <c r="H759" s="123" t="str">
        <f t="shared" si="12"/>
        <v>0701011004Э010200</v>
      </c>
    </row>
    <row r="760" spans="1:8" ht="38.25">
      <c r="A760" s="316" t="s">
        <v>1196</v>
      </c>
      <c r="B760" s="317" t="s">
        <v>207</v>
      </c>
      <c r="C760" s="317" t="s">
        <v>408</v>
      </c>
      <c r="D760" s="317" t="s">
        <v>963</v>
      </c>
      <c r="E760" s="317" t="s">
        <v>1197</v>
      </c>
      <c r="F760" s="312">
        <v>10215000</v>
      </c>
      <c r="G760" s="312">
        <v>10215000</v>
      </c>
      <c r="H760" s="123" t="str">
        <f t="shared" si="12"/>
        <v>0701011004Э010240</v>
      </c>
    </row>
    <row r="761" spans="1:8">
      <c r="A761" s="316" t="s">
        <v>1699</v>
      </c>
      <c r="B761" s="317" t="s">
        <v>207</v>
      </c>
      <c r="C761" s="317" t="s">
        <v>408</v>
      </c>
      <c r="D761" s="317" t="s">
        <v>963</v>
      </c>
      <c r="E761" s="317" t="s">
        <v>1700</v>
      </c>
      <c r="F761" s="312">
        <v>10215000</v>
      </c>
      <c r="G761" s="312">
        <v>10215000</v>
      </c>
      <c r="H761" s="123" t="str">
        <f t="shared" si="12"/>
        <v>0701011004Э010247</v>
      </c>
    </row>
    <row r="762" spans="1:8" ht="331.5">
      <c r="A762" s="316" t="s">
        <v>1354</v>
      </c>
      <c r="B762" s="317" t="s">
        <v>207</v>
      </c>
      <c r="C762" s="317" t="s">
        <v>408</v>
      </c>
      <c r="D762" s="317" t="s">
        <v>741</v>
      </c>
      <c r="E762" s="317" t="s">
        <v>1173</v>
      </c>
      <c r="F762" s="312">
        <v>90344200</v>
      </c>
      <c r="G762" s="312">
        <v>90344200</v>
      </c>
      <c r="H762" s="123" t="str">
        <f t="shared" si="12"/>
        <v>07010110074080</v>
      </c>
    </row>
    <row r="763" spans="1:8" ht="76.5">
      <c r="A763" s="316" t="s">
        <v>1318</v>
      </c>
      <c r="B763" s="317" t="s">
        <v>207</v>
      </c>
      <c r="C763" s="317" t="s">
        <v>408</v>
      </c>
      <c r="D763" s="317" t="s">
        <v>741</v>
      </c>
      <c r="E763" s="317" t="s">
        <v>273</v>
      </c>
      <c r="F763" s="312">
        <v>83019226</v>
      </c>
      <c r="G763" s="312">
        <v>83019226</v>
      </c>
      <c r="H763" s="123" t="str">
        <f t="shared" si="12"/>
        <v>07010110074080100</v>
      </c>
    </row>
    <row r="764" spans="1:8" ht="25.5">
      <c r="A764" s="316" t="s">
        <v>1190</v>
      </c>
      <c r="B764" s="317" t="s">
        <v>207</v>
      </c>
      <c r="C764" s="317" t="s">
        <v>408</v>
      </c>
      <c r="D764" s="317" t="s">
        <v>741</v>
      </c>
      <c r="E764" s="317" t="s">
        <v>133</v>
      </c>
      <c r="F764" s="312">
        <v>83019226</v>
      </c>
      <c r="G764" s="312">
        <v>83019226</v>
      </c>
      <c r="H764" s="123" t="str">
        <f t="shared" si="12"/>
        <v>07010110074080110</v>
      </c>
    </row>
    <row r="765" spans="1:8">
      <c r="A765" s="316" t="s">
        <v>1138</v>
      </c>
      <c r="B765" s="317" t="s">
        <v>207</v>
      </c>
      <c r="C765" s="317" t="s">
        <v>408</v>
      </c>
      <c r="D765" s="317" t="s">
        <v>741</v>
      </c>
      <c r="E765" s="317" t="s">
        <v>342</v>
      </c>
      <c r="F765" s="312">
        <v>62083000</v>
      </c>
      <c r="G765" s="312">
        <v>62083000</v>
      </c>
      <c r="H765" s="123" t="str">
        <f t="shared" si="12"/>
        <v>07010110074080111</v>
      </c>
    </row>
    <row r="766" spans="1:8" ht="25.5">
      <c r="A766" s="316" t="s">
        <v>1147</v>
      </c>
      <c r="B766" s="317" t="s">
        <v>207</v>
      </c>
      <c r="C766" s="317" t="s">
        <v>408</v>
      </c>
      <c r="D766" s="317" t="s">
        <v>741</v>
      </c>
      <c r="E766" s="317" t="s">
        <v>391</v>
      </c>
      <c r="F766" s="312">
        <v>2465000</v>
      </c>
      <c r="G766" s="312">
        <v>2465000</v>
      </c>
      <c r="H766" s="123" t="str">
        <f t="shared" si="12"/>
        <v>07010110074080112</v>
      </c>
    </row>
    <row r="767" spans="1:8" ht="51">
      <c r="A767" s="316" t="s">
        <v>1139</v>
      </c>
      <c r="B767" s="317" t="s">
        <v>207</v>
      </c>
      <c r="C767" s="317" t="s">
        <v>408</v>
      </c>
      <c r="D767" s="317" t="s">
        <v>741</v>
      </c>
      <c r="E767" s="317" t="s">
        <v>1056</v>
      </c>
      <c r="F767" s="312">
        <v>18471226</v>
      </c>
      <c r="G767" s="312">
        <v>18471226</v>
      </c>
      <c r="H767" s="123" t="str">
        <f t="shared" si="12"/>
        <v>07010110074080119</v>
      </c>
    </row>
    <row r="768" spans="1:8" ht="38.25">
      <c r="A768" s="316" t="s">
        <v>1319</v>
      </c>
      <c r="B768" s="317" t="s">
        <v>207</v>
      </c>
      <c r="C768" s="317" t="s">
        <v>408</v>
      </c>
      <c r="D768" s="317" t="s">
        <v>741</v>
      </c>
      <c r="E768" s="317" t="s">
        <v>1320</v>
      </c>
      <c r="F768" s="312">
        <v>7324974</v>
      </c>
      <c r="G768" s="312">
        <v>7324974</v>
      </c>
      <c r="H768" s="123" t="str">
        <f t="shared" si="12"/>
        <v>07010110074080200</v>
      </c>
    </row>
    <row r="769" spans="1:8" ht="38.25">
      <c r="A769" s="316" t="s">
        <v>1196</v>
      </c>
      <c r="B769" s="317" t="s">
        <v>207</v>
      </c>
      <c r="C769" s="317" t="s">
        <v>408</v>
      </c>
      <c r="D769" s="317" t="s">
        <v>741</v>
      </c>
      <c r="E769" s="317" t="s">
        <v>1197</v>
      </c>
      <c r="F769" s="312">
        <v>7324974</v>
      </c>
      <c r="G769" s="312">
        <v>7324974</v>
      </c>
      <c r="H769" s="123" t="str">
        <f t="shared" si="12"/>
        <v>07010110074080240</v>
      </c>
    </row>
    <row r="770" spans="1:8">
      <c r="A770" s="316" t="s">
        <v>1223</v>
      </c>
      <c r="B770" s="317" t="s">
        <v>207</v>
      </c>
      <c r="C770" s="317" t="s">
        <v>408</v>
      </c>
      <c r="D770" s="317" t="s">
        <v>741</v>
      </c>
      <c r="E770" s="317" t="s">
        <v>329</v>
      </c>
      <c r="F770" s="312">
        <v>7324974</v>
      </c>
      <c r="G770" s="312">
        <v>7324974</v>
      </c>
      <c r="H770" s="123" t="str">
        <f t="shared" si="12"/>
        <v>07010110074080244</v>
      </c>
    </row>
    <row r="771" spans="1:8" ht="331.5">
      <c r="A771" s="316" t="s">
        <v>1355</v>
      </c>
      <c r="B771" s="317" t="s">
        <v>207</v>
      </c>
      <c r="C771" s="317" t="s">
        <v>408</v>
      </c>
      <c r="D771" s="317" t="s">
        <v>739</v>
      </c>
      <c r="E771" s="317" t="s">
        <v>1173</v>
      </c>
      <c r="F771" s="312">
        <v>151897400</v>
      </c>
      <c r="G771" s="312">
        <v>151897400</v>
      </c>
      <c r="H771" s="123" t="str">
        <f t="shared" si="12"/>
        <v>07010110075880</v>
      </c>
    </row>
    <row r="772" spans="1:8" ht="76.5">
      <c r="A772" s="316" t="s">
        <v>1318</v>
      </c>
      <c r="B772" s="317" t="s">
        <v>207</v>
      </c>
      <c r="C772" s="317" t="s">
        <v>408</v>
      </c>
      <c r="D772" s="317" t="s">
        <v>739</v>
      </c>
      <c r="E772" s="317" t="s">
        <v>273</v>
      </c>
      <c r="F772" s="312">
        <v>138335290</v>
      </c>
      <c r="G772" s="312">
        <v>138335290</v>
      </c>
      <c r="H772" s="123" t="str">
        <f t="shared" si="12"/>
        <v>07010110075880100</v>
      </c>
    </row>
    <row r="773" spans="1:8" ht="25.5">
      <c r="A773" s="316" t="s">
        <v>1190</v>
      </c>
      <c r="B773" s="317" t="s">
        <v>207</v>
      </c>
      <c r="C773" s="317" t="s">
        <v>408</v>
      </c>
      <c r="D773" s="317" t="s">
        <v>739</v>
      </c>
      <c r="E773" s="317" t="s">
        <v>133</v>
      </c>
      <c r="F773" s="312">
        <v>138335290</v>
      </c>
      <c r="G773" s="312">
        <v>138335290</v>
      </c>
      <c r="H773" s="123" t="str">
        <f t="shared" si="12"/>
        <v>07010110075880110</v>
      </c>
    </row>
    <row r="774" spans="1:8">
      <c r="A774" s="316" t="s">
        <v>1138</v>
      </c>
      <c r="B774" s="317" t="s">
        <v>207</v>
      </c>
      <c r="C774" s="317" t="s">
        <v>408</v>
      </c>
      <c r="D774" s="317" t="s">
        <v>739</v>
      </c>
      <c r="E774" s="317" t="s">
        <v>342</v>
      </c>
      <c r="F774" s="312">
        <v>105333440</v>
      </c>
      <c r="G774" s="312">
        <v>105333440</v>
      </c>
      <c r="H774" s="123" t="str">
        <f t="shared" si="12"/>
        <v>07010110075880111</v>
      </c>
    </row>
    <row r="775" spans="1:8" ht="25.5">
      <c r="A775" s="316" t="s">
        <v>1147</v>
      </c>
      <c r="B775" s="317" t="s">
        <v>207</v>
      </c>
      <c r="C775" s="317" t="s">
        <v>408</v>
      </c>
      <c r="D775" s="317" t="s">
        <v>739</v>
      </c>
      <c r="E775" s="317" t="s">
        <v>391</v>
      </c>
      <c r="F775" s="312">
        <v>1479585</v>
      </c>
      <c r="G775" s="312">
        <v>1479585</v>
      </c>
      <c r="H775" s="123" t="str">
        <f t="shared" si="12"/>
        <v>07010110075880112</v>
      </c>
    </row>
    <row r="776" spans="1:8" ht="51">
      <c r="A776" s="316" t="s">
        <v>1139</v>
      </c>
      <c r="B776" s="317" t="s">
        <v>207</v>
      </c>
      <c r="C776" s="317" t="s">
        <v>408</v>
      </c>
      <c r="D776" s="317" t="s">
        <v>739</v>
      </c>
      <c r="E776" s="317" t="s">
        <v>1056</v>
      </c>
      <c r="F776" s="312">
        <v>31522265</v>
      </c>
      <c r="G776" s="312">
        <v>31522265</v>
      </c>
      <c r="H776" s="123" t="str">
        <f t="shared" si="12"/>
        <v>07010110075880119</v>
      </c>
    </row>
    <row r="777" spans="1:8" ht="38.25">
      <c r="A777" s="316" t="s">
        <v>1319</v>
      </c>
      <c r="B777" s="317" t="s">
        <v>207</v>
      </c>
      <c r="C777" s="317" t="s">
        <v>408</v>
      </c>
      <c r="D777" s="317" t="s">
        <v>739</v>
      </c>
      <c r="E777" s="317" t="s">
        <v>1320</v>
      </c>
      <c r="F777" s="312">
        <v>13562110</v>
      </c>
      <c r="G777" s="312">
        <v>13562110</v>
      </c>
      <c r="H777" s="123" t="str">
        <f t="shared" si="12"/>
        <v>07010110075880200</v>
      </c>
    </row>
    <row r="778" spans="1:8" ht="38.25">
      <c r="A778" s="316" t="s">
        <v>1196</v>
      </c>
      <c r="B778" s="317" t="s">
        <v>207</v>
      </c>
      <c r="C778" s="317" t="s">
        <v>408</v>
      </c>
      <c r="D778" s="317" t="s">
        <v>739</v>
      </c>
      <c r="E778" s="317" t="s">
        <v>1197</v>
      </c>
      <c r="F778" s="312">
        <v>13562110</v>
      </c>
      <c r="G778" s="312">
        <v>13562110</v>
      </c>
      <c r="H778" s="123" t="str">
        <f t="shared" si="12"/>
        <v>07010110075880240</v>
      </c>
    </row>
    <row r="779" spans="1:8">
      <c r="A779" s="316" t="s">
        <v>1223</v>
      </c>
      <c r="B779" s="317" t="s">
        <v>207</v>
      </c>
      <c r="C779" s="317" t="s">
        <v>408</v>
      </c>
      <c r="D779" s="317" t="s">
        <v>739</v>
      </c>
      <c r="E779" s="317" t="s">
        <v>329</v>
      </c>
      <c r="F779" s="312">
        <v>13562110</v>
      </c>
      <c r="G779" s="312">
        <v>13562110</v>
      </c>
      <c r="H779" s="123" t="str">
        <f t="shared" si="12"/>
        <v>07010110075880244</v>
      </c>
    </row>
    <row r="780" spans="1:8">
      <c r="A780" s="316" t="s">
        <v>153</v>
      </c>
      <c r="B780" s="317" t="s">
        <v>207</v>
      </c>
      <c r="C780" s="317" t="s">
        <v>395</v>
      </c>
      <c r="D780" s="317" t="s">
        <v>1173</v>
      </c>
      <c r="E780" s="317" t="s">
        <v>1173</v>
      </c>
      <c r="F780" s="312">
        <v>809093804</v>
      </c>
      <c r="G780" s="312">
        <v>748027504</v>
      </c>
      <c r="H780" s="123" t="str">
        <f t="shared" si="12"/>
        <v>0702</v>
      </c>
    </row>
    <row r="781" spans="1:8" ht="25.5">
      <c r="A781" s="316" t="s">
        <v>442</v>
      </c>
      <c r="B781" s="317" t="s">
        <v>207</v>
      </c>
      <c r="C781" s="317" t="s">
        <v>395</v>
      </c>
      <c r="D781" s="317" t="s">
        <v>971</v>
      </c>
      <c r="E781" s="317" t="s">
        <v>1173</v>
      </c>
      <c r="F781" s="312">
        <v>806693804</v>
      </c>
      <c r="G781" s="312">
        <v>745627504</v>
      </c>
      <c r="H781" s="123" t="str">
        <f t="shared" si="12"/>
        <v>07020100000000</v>
      </c>
    </row>
    <row r="782" spans="1:8" ht="38.25">
      <c r="A782" s="316" t="s">
        <v>443</v>
      </c>
      <c r="B782" s="317" t="s">
        <v>207</v>
      </c>
      <c r="C782" s="317" t="s">
        <v>395</v>
      </c>
      <c r="D782" s="317" t="s">
        <v>972</v>
      </c>
      <c r="E782" s="317" t="s">
        <v>1173</v>
      </c>
      <c r="F782" s="312">
        <v>806693804</v>
      </c>
      <c r="G782" s="312">
        <v>745627504</v>
      </c>
      <c r="H782" s="123" t="str">
        <f t="shared" si="12"/>
        <v>07020110000000</v>
      </c>
    </row>
    <row r="783" spans="1:8" ht="153">
      <c r="A783" s="316" t="s">
        <v>413</v>
      </c>
      <c r="B783" s="317" t="s">
        <v>207</v>
      </c>
      <c r="C783" s="317" t="s">
        <v>395</v>
      </c>
      <c r="D783" s="317" t="s">
        <v>750</v>
      </c>
      <c r="E783" s="317" t="s">
        <v>1173</v>
      </c>
      <c r="F783" s="312">
        <v>70953272</v>
      </c>
      <c r="G783" s="312">
        <v>70893372</v>
      </c>
      <c r="H783" s="123" t="str">
        <f t="shared" si="12"/>
        <v>07020110040020</v>
      </c>
    </row>
    <row r="784" spans="1:8" ht="76.5">
      <c r="A784" s="316" t="s">
        <v>1318</v>
      </c>
      <c r="B784" s="317" t="s">
        <v>207</v>
      </c>
      <c r="C784" s="317" t="s">
        <v>395</v>
      </c>
      <c r="D784" s="317" t="s">
        <v>750</v>
      </c>
      <c r="E784" s="317" t="s">
        <v>273</v>
      </c>
      <c r="F784" s="312">
        <v>45933072</v>
      </c>
      <c r="G784" s="312">
        <v>45933072</v>
      </c>
      <c r="H784" s="123" t="str">
        <f t="shared" si="12"/>
        <v>07020110040020100</v>
      </c>
    </row>
    <row r="785" spans="1:8" ht="25.5">
      <c r="A785" s="316" t="s">
        <v>1190</v>
      </c>
      <c r="B785" s="317" t="s">
        <v>207</v>
      </c>
      <c r="C785" s="317" t="s">
        <v>395</v>
      </c>
      <c r="D785" s="317" t="s">
        <v>750</v>
      </c>
      <c r="E785" s="317" t="s">
        <v>133</v>
      </c>
      <c r="F785" s="312">
        <v>45933072</v>
      </c>
      <c r="G785" s="312">
        <v>45933072</v>
      </c>
      <c r="H785" s="123" t="str">
        <f t="shared" si="12"/>
        <v>07020110040020110</v>
      </c>
    </row>
    <row r="786" spans="1:8">
      <c r="A786" s="316" t="s">
        <v>1138</v>
      </c>
      <c r="B786" s="317" t="s">
        <v>207</v>
      </c>
      <c r="C786" s="317" t="s">
        <v>395</v>
      </c>
      <c r="D786" s="317" t="s">
        <v>750</v>
      </c>
      <c r="E786" s="317" t="s">
        <v>342</v>
      </c>
      <c r="F786" s="312">
        <v>35370800</v>
      </c>
      <c r="G786" s="312">
        <v>35370800</v>
      </c>
      <c r="H786" s="123" t="str">
        <f t="shared" si="12"/>
        <v>07020110040020111</v>
      </c>
    </row>
    <row r="787" spans="1:8" ht="25.5">
      <c r="A787" s="316" t="s">
        <v>1147</v>
      </c>
      <c r="B787" s="317" t="s">
        <v>207</v>
      </c>
      <c r="C787" s="317" t="s">
        <v>395</v>
      </c>
      <c r="D787" s="317" t="s">
        <v>750</v>
      </c>
      <c r="E787" s="317" t="s">
        <v>391</v>
      </c>
      <c r="F787" s="312">
        <v>520</v>
      </c>
      <c r="G787" s="312">
        <v>520</v>
      </c>
      <c r="H787" s="123" t="str">
        <f t="shared" si="12"/>
        <v>07020110040020112</v>
      </c>
    </row>
    <row r="788" spans="1:8" ht="51">
      <c r="A788" s="316" t="s">
        <v>1139</v>
      </c>
      <c r="B788" s="317" t="s">
        <v>207</v>
      </c>
      <c r="C788" s="317" t="s">
        <v>395</v>
      </c>
      <c r="D788" s="317" t="s">
        <v>750</v>
      </c>
      <c r="E788" s="317" t="s">
        <v>1056</v>
      </c>
      <c r="F788" s="312">
        <v>10561752</v>
      </c>
      <c r="G788" s="312">
        <v>10561752</v>
      </c>
      <c r="H788" s="123" t="str">
        <f t="shared" si="12"/>
        <v>07020110040020119</v>
      </c>
    </row>
    <row r="789" spans="1:8" ht="38.25">
      <c r="A789" s="316" t="s">
        <v>1319</v>
      </c>
      <c r="B789" s="317" t="s">
        <v>207</v>
      </c>
      <c r="C789" s="317" t="s">
        <v>395</v>
      </c>
      <c r="D789" s="317" t="s">
        <v>750</v>
      </c>
      <c r="E789" s="317" t="s">
        <v>1320</v>
      </c>
      <c r="F789" s="312">
        <v>25020200</v>
      </c>
      <c r="G789" s="312">
        <v>24960300</v>
      </c>
      <c r="H789" s="123" t="str">
        <f t="shared" si="12"/>
        <v>07020110040020200</v>
      </c>
    </row>
    <row r="790" spans="1:8" ht="38.25">
      <c r="A790" s="316" t="s">
        <v>1196</v>
      </c>
      <c r="B790" s="317" t="s">
        <v>207</v>
      </c>
      <c r="C790" s="317" t="s">
        <v>395</v>
      </c>
      <c r="D790" s="317" t="s">
        <v>750</v>
      </c>
      <c r="E790" s="317" t="s">
        <v>1197</v>
      </c>
      <c r="F790" s="312">
        <v>25020200</v>
      </c>
      <c r="G790" s="312">
        <v>24960300</v>
      </c>
      <c r="H790" s="123" t="str">
        <f t="shared" si="12"/>
        <v>07020110040020240</v>
      </c>
    </row>
    <row r="791" spans="1:8">
      <c r="A791" s="316" t="s">
        <v>1223</v>
      </c>
      <c r="B791" s="317" t="s">
        <v>207</v>
      </c>
      <c r="C791" s="317" t="s">
        <v>395</v>
      </c>
      <c r="D791" s="317" t="s">
        <v>750</v>
      </c>
      <c r="E791" s="317" t="s">
        <v>329</v>
      </c>
      <c r="F791" s="312">
        <v>25020200</v>
      </c>
      <c r="G791" s="312">
        <v>24960300</v>
      </c>
      <c r="H791" s="123" t="str">
        <f t="shared" si="12"/>
        <v>07020110040020244</v>
      </c>
    </row>
    <row r="792" spans="1:8" ht="204">
      <c r="A792" s="316" t="s">
        <v>415</v>
      </c>
      <c r="B792" s="317" t="s">
        <v>207</v>
      </c>
      <c r="C792" s="317" t="s">
        <v>395</v>
      </c>
      <c r="D792" s="317" t="s">
        <v>751</v>
      </c>
      <c r="E792" s="317" t="s">
        <v>1173</v>
      </c>
      <c r="F792" s="312">
        <v>69561954</v>
      </c>
      <c r="G792" s="312">
        <v>69561954</v>
      </c>
      <c r="H792" s="123" t="str">
        <f t="shared" si="12"/>
        <v>07020110041020</v>
      </c>
    </row>
    <row r="793" spans="1:8" ht="76.5">
      <c r="A793" s="316" t="s">
        <v>1318</v>
      </c>
      <c r="B793" s="317" t="s">
        <v>207</v>
      </c>
      <c r="C793" s="317" t="s">
        <v>395</v>
      </c>
      <c r="D793" s="317" t="s">
        <v>751</v>
      </c>
      <c r="E793" s="317" t="s">
        <v>273</v>
      </c>
      <c r="F793" s="312">
        <v>69561954</v>
      </c>
      <c r="G793" s="312">
        <v>69561954</v>
      </c>
      <c r="H793" s="123" t="str">
        <f t="shared" si="12"/>
        <v>07020110041020100</v>
      </c>
    </row>
    <row r="794" spans="1:8" ht="25.5">
      <c r="A794" s="316" t="s">
        <v>1190</v>
      </c>
      <c r="B794" s="317" t="s">
        <v>207</v>
      </c>
      <c r="C794" s="317" t="s">
        <v>395</v>
      </c>
      <c r="D794" s="317" t="s">
        <v>751</v>
      </c>
      <c r="E794" s="317" t="s">
        <v>133</v>
      </c>
      <c r="F794" s="312">
        <v>69561954</v>
      </c>
      <c r="G794" s="312">
        <v>69561954</v>
      </c>
      <c r="H794" s="123" t="str">
        <f t="shared" si="12"/>
        <v>07020110041020110</v>
      </c>
    </row>
    <row r="795" spans="1:8">
      <c r="A795" s="316" t="s">
        <v>1138</v>
      </c>
      <c r="B795" s="317" t="s">
        <v>207</v>
      </c>
      <c r="C795" s="317" t="s">
        <v>395</v>
      </c>
      <c r="D795" s="317" t="s">
        <v>751</v>
      </c>
      <c r="E795" s="317" t="s">
        <v>342</v>
      </c>
      <c r="F795" s="312">
        <v>53427000</v>
      </c>
      <c r="G795" s="312">
        <v>53427000</v>
      </c>
      <c r="H795" s="123" t="str">
        <f t="shared" si="12"/>
        <v>07020110041020111</v>
      </c>
    </row>
    <row r="796" spans="1:8" ht="51">
      <c r="A796" s="316" t="s">
        <v>1139</v>
      </c>
      <c r="B796" s="317" t="s">
        <v>207</v>
      </c>
      <c r="C796" s="317" t="s">
        <v>395</v>
      </c>
      <c r="D796" s="317" t="s">
        <v>751</v>
      </c>
      <c r="E796" s="317" t="s">
        <v>1056</v>
      </c>
      <c r="F796" s="312">
        <v>16134954</v>
      </c>
      <c r="G796" s="312">
        <v>16134954</v>
      </c>
      <c r="H796" s="123" t="str">
        <f t="shared" si="12"/>
        <v>07020110041020119</v>
      </c>
    </row>
    <row r="797" spans="1:8" ht="178.5">
      <c r="A797" s="316" t="s">
        <v>530</v>
      </c>
      <c r="B797" s="317" t="s">
        <v>207</v>
      </c>
      <c r="C797" s="317" t="s">
        <v>395</v>
      </c>
      <c r="D797" s="317" t="s">
        <v>757</v>
      </c>
      <c r="E797" s="317" t="s">
        <v>1173</v>
      </c>
      <c r="F797" s="312">
        <v>2608000</v>
      </c>
      <c r="G797" s="312">
        <v>2608000</v>
      </c>
      <c r="H797" s="123" t="str">
        <f t="shared" si="12"/>
        <v>07020110043020</v>
      </c>
    </row>
    <row r="798" spans="1:8" ht="76.5">
      <c r="A798" s="316" t="s">
        <v>1318</v>
      </c>
      <c r="B798" s="317" t="s">
        <v>207</v>
      </c>
      <c r="C798" s="317" t="s">
        <v>395</v>
      </c>
      <c r="D798" s="317" t="s">
        <v>757</v>
      </c>
      <c r="E798" s="317" t="s">
        <v>273</v>
      </c>
      <c r="F798" s="312">
        <v>390000</v>
      </c>
      <c r="G798" s="312">
        <v>390000</v>
      </c>
      <c r="H798" s="123" t="str">
        <f t="shared" si="12"/>
        <v>07020110043020100</v>
      </c>
    </row>
    <row r="799" spans="1:8" ht="25.5">
      <c r="A799" s="316" t="s">
        <v>1190</v>
      </c>
      <c r="B799" s="317" t="s">
        <v>207</v>
      </c>
      <c r="C799" s="317" t="s">
        <v>395</v>
      </c>
      <c r="D799" s="317" t="s">
        <v>757</v>
      </c>
      <c r="E799" s="317" t="s">
        <v>133</v>
      </c>
      <c r="F799" s="312">
        <v>390000</v>
      </c>
      <c r="G799" s="312">
        <v>390000</v>
      </c>
      <c r="H799" s="123" t="str">
        <f t="shared" si="12"/>
        <v>07020110043020110</v>
      </c>
    </row>
    <row r="800" spans="1:8" ht="25.5">
      <c r="A800" s="316" t="s">
        <v>1147</v>
      </c>
      <c r="B800" s="317" t="s">
        <v>207</v>
      </c>
      <c r="C800" s="317" t="s">
        <v>395</v>
      </c>
      <c r="D800" s="317" t="s">
        <v>757</v>
      </c>
      <c r="E800" s="317" t="s">
        <v>391</v>
      </c>
      <c r="F800" s="312">
        <v>210000</v>
      </c>
      <c r="G800" s="312">
        <v>210000</v>
      </c>
      <c r="H800" s="123" t="str">
        <f t="shared" si="12"/>
        <v>07020110043020112</v>
      </c>
    </row>
    <row r="801" spans="1:8" ht="25.5">
      <c r="A801" s="316" t="s">
        <v>1963</v>
      </c>
      <c r="B801" s="317" t="s">
        <v>207</v>
      </c>
      <c r="C801" s="317" t="s">
        <v>395</v>
      </c>
      <c r="D801" s="317" t="s">
        <v>757</v>
      </c>
      <c r="E801" s="317" t="s">
        <v>1059</v>
      </c>
      <c r="F801" s="312">
        <v>180000</v>
      </c>
      <c r="G801" s="312">
        <v>180000</v>
      </c>
      <c r="H801" s="123" t="str">
        <f t="shared" si="12"/>
        <v>07020110043020113</v>
      </c>
    </row>
    <row r="802" spans="1:8" ht="38.25">
      <c r="A802" s="316" t="s">
        <v>1319</v>
      </c>
      <c r="B802" s="317" t="s">
        <v>207</v>
      </c>
      <c r="C802" s="317" t="s">
        <v>395</v>
      </c>
      <c r="D802" s="317" t="s">
        <v>757</v>
      </c>
      <c r="E802" s="317" t="s">
        <v>1320</v>
      </c>
      <c r="F802" s="312">
        <v>2218000</v>
      </c>
      <c r="G802" s="312">
        <v>2218000</v>
      </c>
      <c r="H802" s="123" t="str">
        <f t="shared" si="12"/>
        <v>07020110043020200</v>
      </c>
    </row>
    <row r="803" spans="1:8" ht="38.25">
      <c r="A803" s="316" t="s">
        <v>1196</v>
      </c>
      <c r="B803" s="317" t="s">
        <v>207</v>
      </c>
      <c r="C803" s="317" t="s">
        <v>395</v>
      </c>
      <c r="D803" s="317" t="s">
        <v>757</v>
      </c>
      <c r="E803" s="317" t="s">
        <v>1197</v>
      </c>
      <c r="F803" s="312">
        <v>2218000</v>
      </c>
      <c r="G803" s="312">
        <v>2218000</v>
      </c>
      <c r="H803" s="123" t="str">
        <f t="shared" si="12"/>
        <v>07020110043020240</v>
      </c>
    </row>
    <row r="804" spans="1:8">
      <c r="A804" s="316" t="s">
        <v>1223</v>
      </c>
      <c r="B804" s="317" t="s">
        <v>207</v>
      </c>
      <c r="C804" s="317" t="s">
        <v>395</v>
      </c>
      <c r="D804" s="317" t="s">
        <v>757</v>
      </c>
      <c r="E804" s="317" t="s">
        <v>329</v>
      </c>
      <c r="F804" s="312">
        <v>2218000</v>
      </c>
      <c r="G804" s="312">
        <v>2218000</v>
      </c>
      <c r="H804" s="123" t="str">
        <f t="shared" si="12"/>
        <v>07020110043020244</v>
      </c>
    </row>
    <row r="805" spans="1:8" ht="153">
      <c r="A805" s="316" t="s">
        <v>578</v>
      </c>
      <c r="B805" s="317" t="s">
        <v>207</v>
      </c>
      <c r="C805" s="317" t="s">
        <v>395</v>
      </c>
      <c r="D805" s="317" t="s">
        <v>752</v>
      </c>
      <c r="E805" s="317" t="s">
        <v>1173</v>
      </c>
      <c r="F805" s="312">
        <v>960000</v>
      </c>
      <c r="G805" s="312">
        <v>960000</v>
      </c>
      <c r="H805" s="123" t="str">
        <f t="shared" si="12"/>
        <v>07020110047020</v>
      </c>
    </row>
    <row r="806" spans="1:8" ht="76.5">
      <c r="A806" s="316" t="s">
        <v>1318</v>
      </c>
      <c r="B806" s="317" t="s">
        <v>207</v>
      </c>
      <c r="C806" s="317" t="s">
        <v>395</v>
      </c>
      <c r="D806" s="317" t="s">
        <v>752</v>
      </c>
      <c r="E806" s="317" t="s">
        <v>273</v>
      </c>
      <c r="F806" s="312">
        <v>960000</v>
      </c>
      <c r="G806" s="312">
        <v>960000</v>
      </c>
      <c r="H806" s="123" t="str">
        <f t="shared" ref="H806:H869" si="13">CONCATENATE(C806,,D806,E806)</f>
        <v>07020110047020100</v>
      </c>
    </row>
    <row r="807" spans="1:8" ht="25.5">
      <c r="A807" s="316" t="s">
        <v>1190</v>
      </c>
      <c r="B807" s="317" t="s">
        <v>207</v>
      </c>
      <c r="C807" s="317" t="s">
        <v>395</v>
      </c>
      <c r="D807" s="317" t="s">
        <v>752</v>
      </c>
      <c r="E807" s="317" t="s">
        <v>133</v>
      </c>
      <c r="F807" s="312">
        <v>960000</v>
      </c>
      <c r="G807" s="312">
        <v>960000</v>
      </c>
      <c r="H807" s="123" t="str">
        <f t="shared" si="13"/>
        <v>07020110047020110</v>
      </c>
    </row>
    <row r="808" spans="1:8" ht="25.5">
      <c r="A808" s="316" t="s">
        <v>1147</v>
      </c>
      <c r="B808" s="317" t="s">
        <v>207</v>
      </c>
      <c r="C808" s="317" t="s">
        <v>395</v>
      </c>
      <c r="D808" s="317" t="s">
        <v>752</v>
      </c>
      <c r="E808" s="317" t="s">
        <v>391</v>
      </c>
      <c r="F808" s="312">
        <v>960000</v>
      </c>
      <c r="G808" s="312">
        <v>960000</v>
      </c>
      <c r="H808" s="123" t="str">
        <f t="shared" si="13"/>
        <v>07020110047020112</v>
      </c>
    </row>
    <row r="809" spans="1:8" ht="165.75">
      <c r="A809" s="316" t="s">
        <v>580</v>
      </c>
      <c r="B809" s="317" t="s">
        <v>207</v>
      </c>
      <c r="C809" s="317" t="s">
        <v>395</v>
      </c>
      <c r="D809" s="317" t="s">
        <v>753</v>
      </c>
      <c r="E809" s="317" t="s">
        <v>1173</v>
      </c>
      <c r="F809" s="312">
        <v>105225478</v>
      </c>
      <c r="G809" s="312">
        <v>105225478</v>
      </c>
      <c r="H809" s="123" t="str">
        <f t="shared" si="13"/>
        <v>0702011004Г020</v>
      </c>
    </row>
    <row r="810" spans="1:8" ht="38.25">
      <c r="A810" s="316" t="s">
        <v>1319</v>
      </c>
      <c r="B810" s="317" t="s">
        <v>207</v>
      </c>
      <c r="C810" s="317" t="s">
        <v>395</v>
      </c>
      <c r="D810" s="317" t="s">
        <v>753</v>
      </c>
      <c r="E810" s="317" t="s">
        <v>1320</v>
      </c>
      <c r="F810" s="312">
        <v>105225478</v>
      </c>
      <c r="G810" s="312">
        <v>105225478</v>
      </c>
      <c r="H810" s="123" t="str">
        <f t="shared" si="13"/>
        <v>0702011004Г020200</v>
      </c>
    </row>
    <row r="811" spans="1:8" ht="38.25">
      <c r="A811" s="316" t="s">
        <v>1196</v>
      </c>
      <c r="B811" s="317" t="s">
        <v>207</v>
      </c>
      <c r="C811" s="317" t="s">
        <v>395</v>
      </c>
      <c r="D811" s="317" t="s">
        <v>753</v>
      </c>
      <c r="E811" s="317" t="s">
        <v>1197</v>
      </c>
      <c r="F811" s="312">
        <v>105225478</v>
      </c>
      <c r="G811" s="312">
        <v>105225478</v>
      </c>
      <c r="H811" s="123" t="str">
        <f t="shared" si="13"/>
        <v>0702011004Г020240</v>
      </c>
    </row>
    <row r="812" spans="1:8">
      <c r="A812" s="316" t="s">
        <v>1223</v>
      </c>
      <c r="B812" s="317" t="s">
        <v>207</v>
      </c>
      <c r="C812" s="317" t="s">
        <v>395</v>
      </c>
      <c r="D812" s="317" t="s">
        <v>753</v>
      </c>
      <c r="E812" s="317" t="s">
        <v>329</v>
      </c>
      <c r="F812" s="312">
        <v>10677478</v>
      </c>
      <c r="G812" s="312">
        <v>10677478</v>
      </c>
      <c r="H812" s="123" t="str">
        <f t="shared" si="13"/>
        <v>0702011004Г020244</v>
      </c>
    </row>
    <row r="813" spans="1:8">
      <c r="A813" s="316" t="s">
        <v>1699</v>
      </c>
      <c r="B813" s="317" t="s">
        <v>207</v>
      </c>
      <c r="C813" s="317" t="s">
        <v>395</v>
      </c>
      <c r="D813" s="317" t="s">
        <v>753</v>
      </c>
      <c r="E813" s="317" t="s">
        <v>1700</v>
      </c>
      <c r="F813" s="312">
        <v>94548000</v>
      </c>
      <c r="G813" s="312">
        <v>94548000</v>
      </c>
      <c r="H813" s="123" t="str">
        <f t="shared" si="13"/>
        <v>0702011004Г020247</v>
      </c>
    </row>
    <row r="814" spans="1:8" ht="165.75">
      <c r="A814" s="316" t="s">
        <v>1784</v>
      </c>
      <c r="B814" s="317" t="s">
        <v>207</v>
      </c>
      <c r="C814" s="317" t="s">
        <v>395</v>
      </c>
      <c r="D814" s="317" t="s">
        <v>1785</v>
      </c>
      <c r="E814" s="317" t="s">
        <v>1173</v>
      </c>
      <c r="F814" s="312">
        <v>1351700</v>
      </c>
      <c r="G814" s="312">
        <v>1351700</v>
      </c>
      <c r="H814" s="123" t="str">
        <f t="shared" si="13"/>
        <v>0702011004М020</v>
      </c>
    </row>
    <row r="815" spans="1:8" ht="38.25">
      <c r="A815" s="316" t="s">
        <v>1319</v>
      </c>
      <c r="B815" s="317" t="s">
        <v>207</v>
      </c>
      <c r="C815" s="317" t="s">
        <v>395</v>
      </c>
      <c r="D815" s="317" t="s">
        <v>1785</v>
      </c>
      <c r="E815" s="317" t="s">
        <v>1320</v>
      </c>
      <c r="F815" s="312">
        <v>1351700</v>
      </c>
      <c r="G815" s="312">
        <v>1351700</v>
      </c>
      <c r="H815" s="123" t="str">
        <f t="shared" si="13"/>
        <v>0702011004М020200</v>
      </c>
    </row>
    <row r="816" spans="1:8" ht="38.25">
      <c r="A816" s="316" t="s">
        <v>1196</v>
      </c>
      <c r="B816" s="317" t="s">
        <v>207</v>
      </c>
      <c r="C816" s="317" t="s">
        <v>395</v>
      </c>
      <c r="D816" s="317" t="s">
        <v>1785</v>
      </c>
      <c r="E816" s="317" t="s">
        <v>1197</v>
      </c>
      <c r="F816" s="312">
        <v>1351700</v>
      </c>
      <c r="G816" s="312">
        <v>1351700</v>
      </c>
      <c r="H816" s="123" t="str">
        <f t="shared" si="13"/>
        <v>0702011004М020240</v>
      </c>
    </row>
    <row r="817" spans="1:8">
      <c r="A817" s="316" t="s">
        <v>1223</v>
      </c>
      <c r="B817" s="317" t="s">
        <v>207</v>
      </c>
      <c r="C817" s="317" t="s">
        <v>395</v>
      </c>
      <c r="D817" s="317" t="s">
        <v>1785</v>
      </c>
      <c r="E817" s="317" t="s">
        <v>329</v>
      </c>
      <c r="F817" s="312">
        <v>1351700</v>
      </c>
      <c r="G817" s="312">
        <v>1351700</v>
      </c>
      <c r="H817" s="123" t="str">
        <f t="shared" si="13"/>
        <v>0702011004М020244</v>
      </c>
    </row>
    <row r="818" spans="1:8" ht="140.25">
      <c r="A818" s="316" t="s">
        <v>582</v>
      </c>
      <c r="B818" s="317" t="s">
        <v>207</v>
      </c>
      <c r="C818" s="317" t="s">
        <v>395</v>
      </c>
      <c r="D818" s="317" t="s">
        <v>758</v>
      </c>
      <c r="E818" s="317" t="s">
        <v>1173</v>
      </c>
      <c r="F818" s="312">
        <v>4705000</v>
      </c>
      <c r="G818" s="312">
        <v>4705000</v>
      </c>
      <c r="H818" s="123" t="str">
        <f t="shared" si="13"/>
        <v>0702011004П020</v>
      </c>
    </row>
    <row r="819" spans="1:8" ht="38.25">
      <c r="A819" s="316" t="s">
        <v>1319</v>
      </c>
      <c r="B819" s="317" t="s">
        <v>207</v>
      </c>
      <c r="C819" s="317" t="s">
        <v>395</v>
      </c>
      <c r="D819" s="317" t="s">
        <v>758</v>
      </c>
      <c r="E819" s="317" t="s">
        <v>1320</v>
      </c>
      <c r="F819" s="312">
        <v>4705000</v>
      </c>
      <c r="G819" s="312">
        <v>4705000</v>
      </c>
      <c r="H819" s="123" t="str">
        <f t="shared" si="13"/>
        <v>0702011004П020200</v>
      </c>
    </row>
    <row r="820" spans="1:8" ht="38.25">
      <c r="A820" s="316" t="s">
        <v>1196</v>
      </c>
      <c r="B820" s="317" t="s">
        <v>207</v>
      </c>
      <c r="C820" s="317" t="s">
        <v>395</v>
      </c>
      <c r="D820" s="317" t="s">
        <v>758</v>
      </c>
      <c r="E820" s="317" t="s">
        <v>1197</v>
      </c>
      <c r="F820" s="312">
        <v>4705000</v>
      </c>
      <c r="G820" s="312">
        <v>4705000</v>
      </c>
      <c r="H820" s="123" t="str">
        <f t="shared" si="13"/>
        <v>0702011004П020240</v>
      </c>
    </row>
    <row r="821" spans="1:8">
      <c r="A821" s="316" t="s">
        <v>1223</v>
      </c>
      <c r="B821" s="317" t="s">
        <v>207</v>
      </c>
      <c r="C821" s="317" t="s">
        <v>395</v>
      </c>
      <c r="D821" s="317" t="s">
        <v>758</v>
      </c>
      <c r="E821" s="317" t="s">
        <v>329</v>
      </c>
      <c r="F821" s="312">
        <v>4705000</v>
      </c>
      <c r="G821" s="312">
        <v>4705000</v>
      </c>
      <c r="H821" s="123" t="str">
        <f t="shared" si="13"/>
        <v>0702011004П020244</v>
      </c>
    </row>
    <row r="822" spans="1:8" ht="140.25">
      <c r="A822" s="316" t="s">
        <v>964</v>
      </c>
      <c r="B822" s="317" t="s">
        <v>207</v>
      </c>
      <c r="C822" s="317" t="s">
        <v>395</v>
      </c>
      <c r="D822" s="317" t="s">
        <v>965</v>
      </c>
      <c r="E822" s="317" t="s">
        <v>1173</v>
      </c>
      <c r="F822" s="312">
        <v>11244000</v>
      </c>
      <c r="G822" s="312">
        <v>11244000</v>
      </c>
      <c r="H822" s="123" t="str">
        <f t="shared" si="13"/>
        <v>0702011004Э020</v>
      </c>
    </row>
    <row r="823" spans="1:8" ht="38.25">
      <c r="A823" s="316" t="s">
        <v>1319</v>
      </c>
      <c r="B823" s="317" t="s">
        <v>207</v>
      </c>
      <c r="C823" s="317" t="s">
        <v>395</v>
      </c>
      <c r="D823" s="317" t="s">
        <v>965</v>
      </c>
      <c r="E823" s="317" t="s">
        <v>1320</v>
      </c>
      <c r="F823" s="312">
        <v>11244000</v>
      </c>
      <c r="G823" s="312">
        <v>11244000</v>
      </c>
      <c r="H823" s="123" t="str">
        <f t="shared" si="13"/>
        <v>0702011004Э020200</v>
      </c>
    </row>
    <row r="824" spans="1:8" ht="38.25">
      <c r="A824" s="316" t="s">
        <v>1196</v>
      </c>
      <c r="B824" s="317" t="s">
        <v>207</v>
      </c>
      <c r="C824" s="317" t="s">
        <v>395</v>
      </c>
      <c r="D824" s="317" t="s">
        <v>965</v>
      </c>
      <c r="E824" s="317" t="s">
        <v>1197</v>
      </c>
      <c r="F824" s="312">
        <v>11244000</v>
      </c>
      <c r="G824" s="312">
        <v>11244000</v>
      </c>
      <c r="H824" s="123" t="str">
        <f t="shared" si="13"/>
        <v>0702011004Э020240</v>
      </c>
    </row>
    <row r="825" spans="1:8">
      <c r="A825" s="316" t="s">
        <v>1699</v>
      </c>
      <c r="B825" s="317" t="s">
        <v>207</v>
      </c>
      <c r="C825" s="317" t="s">
        <v>395</v>
      </c>
      <c r="D825" s="317" t="s">
        <v>965</v>
      </c>
      <c r="E825" s="317" t="s">
        <v>1700</v>
      </c>
      <c r="F825" s="312">
        <v>11244000</v>
      </c>
      <c r="G825" s="312">
        <v>11244000</v>
      </c>
      <c r="H825" s="123" t="str">
        <f t="shared" si="13"/>
        <v>0702011004Э020247</v>
      </c>
    </row>
    <row r="826" spans="1:8" ht="114.75">
      <c r="A826" s="316" t="s">
        <v>2094</v>
      </c>
      <c r="B826" s="317" t="s">
        <v>207</v>
      </c>
      <c r="C826" s="317" t="s">
        <v>395</v>
      </c>
      <c r="D826" s="317" t="s">
        <v>2095</v>
      </c>
      <c r="E826" s="317" t="s">
        <v>1173</v>
      </c>
      <c r="F826" s="312">
        <v>52309200</v>
      </c>
      <c r="G826" s="312">
        <v>0</v>
      </c>
      <c r="H826" s="123" t="str">
        <f t="shared" si="13"/>
        <v>07020110053030</v>
      </c>
    </row>
    <row r="827" spans="1:8" ht="76.5">
      <c r="A827" s="316" t="s">
        <v>1318</v>
      </c>
      <c r="B827" s="317" t="s">
        <v>207</v>
      </c>
      <c r="C827" s="317" t="s">
        <v>395</v>
      </c>
      <c r="D827" s="317" t="s">
        <v>2095</v>
      </c>
      <c r="E827" s="317" t="s">
        <v>273</v>
      </c>
      <c r="F827" s="312">
        <v>52309200</v>
      </c>
      <c r="G827" s="312">
        <v>0</v>
      </c>
      <c r="H827" s="123" t="str">
        <f t="shared" si="13"/>
        <v>07020110053030100</v>
      </c>
    </row>
    <row r="828" spans="1:8" ht="25.5">
      <c r="A828" s="316" t="s">
        <v>1190</v>
      </c>
      <c r="B828" s="317" t="s">
        <v>207</v>
      </c>
      <c r="C828" s="317" t="s">
        <v>395</v>
      </c>
      <c r="D828" s="317" t="s">
        <v>2095</v>
      </c>
      <c r="E828" s="317" t="s">
        <v>133</v>
      </c>
      <c r="F828" s="312">
        <v>52309200</v>
      </c>
      <c r="G828" s="312">
        <v>0</v>
      </c>
      <c r="H828" s="123" t="str">
        <f t="shared" si="13"/>
        <v>07020110053030110</v>
      </c>
    </row>
    <row r="829" spans="1:8">
      <c r="A829" s="316" t="s">
        <v>1138</v>
      </c>
      <c r="B829" s="317" t="s">
        <v>207</v>
      </c>
      <c r="C829" s="317" t="s">
        <v>395</v>
      </c>
      <c r="D829" s="317" t="s">
        <v>2095</v>
      </c>
      <c r="E829" s="317" t="s">
        <v>342</v>
      </c>
      <c r="F829" s="312">
        <v>40176162</v>
      </c>
      <c r="G829" s="312">
        <v>0</v>
      </c>
      <c r="H829" s="123" t="str">
        <f t="shared" si="13"/>
        <v>07020110053030111</v>
      </c>
    </row>
    <row r="830" spans="1:8" ht="51">
      <c r="A830" s="316" t="s">
        <v>1139</v>
      </c>
      <c r="B830" s="317" t="s">
        <v>207</v>
      </c>
      <c r="C830" s="317" t="s">
        <v>395</v>
      </c>
      <c r="D830" s="317" t="s">
        <v>2095</v>
      </c>
      <c r="E830" s="317" t="s">
        <v>1056</v>
      </c>
      <c r="F830" s="312">
        <v>12133038</v>
      </c>
      <c r="G830" s="312">
        <v>0</v>
      </c>
      <c r="H830" s="123" t="str">
        <f t="shared" si="13"/>
        <v>07020110053030119</v>
      </c>
    </row>
    <row r="831" spans="1:8" ht="331.5">
      <c r="A831" s="316" t="s">
        <v>1356</v>
      </c>
      <c r="B831" s="317" t="s">
        <v>207</v>
      </c>
      <c r="C831" s="317" t="s">
        <v>395</v>
      </c>
      <c r="D831" s="317" t="s">
        <v>749</v>
      </c>
      <c r="E831" s="317" t="s">
        <v>1173</v>
      </c>
      <c r="F831" s="312">
        <v>92779300</v>
      </c>
      <c r="G831" s="312">
        <v>92779300</v>
      </c>
      <c r="H831" s="123" t="str">
        <f t="shared" si="13"/>
        <v>07020110074090</v>
      </c>
    </row>
    <row r="832" spans="1:8" ht="76.5">
      <c r="A832" s="316" t="s">
        <v>1318</v>
      </c>
      <c r="B832" s="317" t="s">
        <v>207</v>
      </c>
      <c r="C832" s="317" t="s">
        <v>395</v>
      </c>
      <c r="D832" s="317" t="s">
        <v>749</v>
      </c>
      <c r="E832" s="317" t="s">
        <v>273</v>
      </c>
      <c r="F832" s="312">
        <v>82552136</v>
      </c>
      <c r="G832" s="312">
        <v>82552136</v>
      </c>
      <c r="H832" s="123" t="str">
        <f t="shared" si="13"/>
        <v>07020110074090100</v>
      </c>
    </row>
    <row r="833" spans="1:8" ht="25.5">
      <c r="A833" s="316" t="s">
        <v>1190</v>
      </c>
      <c r="B833" s="317" t="s">
        <v>207</v>
      </c>
      <c r="C833" s="317" t="s">
        <v>395</v>
      </c>
      <c r="D833" s="317" t="s">
        <v>749</v>
      </c>
      <c r="E833" s="317" t="s">
        <v>133</v>
      </c>
      <c r="F833" s="312">
        <v>82552136</v>
      </c>
      <c r="G833" s="312">
        <v>82552136</v>
      </c>
      <c r="H833" s="123" t="str">
        <f t="shared" si="13"/>
        <v>07020110074090110</v>
      </c>
    </row>
    <row r="834" spans="1:8">
      <c r="A834" s="316" t="s">
        <v>1138</v>
      </c>
      <c r="B834" s="317" t="s">
        <v>207</v>
      </c>
      <c r="C834" s="317" t="s">
        <v>395</v>
      </c>
      <c r="D834" s="317" t="s">
        <v>749</v>
      </c>
      <c r="E834" s="317" t="s">
        <v>342</v>
      </c>
      <c r="F834" s="312">
        <v>59988000</v>
      </c>
      <c r="G834" s="312">
        <v>59988000</v>
      </c>
      <c r="H834" s="123" t="str">
        <f t="shared" si="13"/>
        <v>07020110074090111</v>
      </c>
    </row>
    <row r="835" spans="1:8" ht="25.5">
      <c r="A835" s="316" t="s">
        <v>1147</v>
      </c>
      <c r="B835" s="317" t="s">
        <v>207</v>
      </c>
      <c r="C835" s="317" t="s">
        <v>395</v>
      </c>
      <c r="D835" s="317" t="s">
        <v>749</v>
      </c>
      <c r="E835" s="317" t="s">
        <v>391</v>
      </c>
      <c r="F835" s="312">
        <v>4635000</v>
      </c>
      <c r="G835" s="312">
        <v>4635000</v>
      </c>
      <c r="H835" s="123" t="str">
        <f t="shared" si="13"/>
        <v>07020110074090112</v>
      </c>
    </row>
    <row r="836" spans="1:8" ht="51">
      <c r="A836" s="316" t="s">
        <v>1139</v>
      </c>
      <c r="B836" s="317" t="s">
        <v>207</v>
      </c>
      <c r="C836" s="317" t="s">
        <v>395</v>
      </c>
      <c r="D836" s="317" t="s">
        <v>749</v>
      </c>
      <c r="E836" s="317" t="s">
        <v>1056</v>
      </c>
      <c r="F836" s="312">
        <v>17929136</v>
      </c>
      <c r="G836" s="312">
        <v>17929136</v>
      </c>
      <c r="H836" s="123" t="str">
        <f t="shared" si="13"/>
        <v>07020110074090119</v>
      </c>
    </row>
    <row r="837" spans="1:8" ht="38.25">
      <c r="A837" s="316" t="s">
        <v>1319</v>
      </c>
      <c r="B837" s="317" t="s">
        <v>207</v>
      </c>
      <c r="C837" s="317" t="s">
        <v>395</v>
      </c>
      <c r="D837" s="317" t="s">
        <v>749</v>
      </c>
      <c r="E837" s="317" t="s">
        <v>1320</v>
      </c>
      <c r="F837" s="312">
        <v>10227164</v>
      </c>
      <c r="G837" s="312">
        <v>10227164</v>
      </c>
      <c r="H837" s="123" t="str">
        <f t="shared" si="13"/>
        <v>07020110074090200</v>
      </c>
    </row>
    <row r="838" spans="1:8" ht="38.25">
      <c r="A838" s="316" t="s">
        <v>1196</v>
      </c>
      <c r="B838" s="317" t="s">
        <v>207</v>
      </c>
      <c r="C838" s="317" t="s">
        <v>395</v>
      </c>
      <c r="D838" s="317" t="s">
        <v>749</v>
      </c>
      <c r="E838" s="317" t="s">
        <v>1197</v>
      </c>
      <c r="F838" s="312">
        <v>10227164</v>
      </c>
      <c r="G838" s="312">
        <v>10227164</v>
      </c>
      <c r="H838" s="123" t="str">
        <f t="shared" si="13"/>
        <v>07020110074090240</v>
      </c>
    </row>
    <row r="839" spans="1:8">
      <c r="A839" s="316" t="s">
        <v>1223</v>
      </c>
      <c r="B839" s="317" t="s">
        <v>207</v>
      </c>
      <c r="C839" s="317" t="s">
        <v>395</v>
      </c>
      <c r="D839" s="317" t="s">
        <v>749</v>
      </c>
      <c r="E839" s="317" t="s">
        <v>329</v>
      </c>
      <c r="F839" s="312">
        <v>10227164</v>
      </c>
      <c r="G839" s="312">
        <v>10227164</v>
      </c>
      <c r="H839" s="123" t="str">
        <f t="shared" si="13"/>
        <v>07020110074090244</v>
      </c>
    </row>
    <row r="840" spans="1:8" ht="331.5">
      <c r="A840" s="316" t="s">
        <v>1357</v>
      </c>
      <c r="B840" s="317" t="s">
        <v>207</v>
      </c>
      <c r="C840" s="317" t="s">
        <v>395</v>
      </c>
      <c r="D840" s="317" t="s">
        <v>747</v>
      </c>
      <c r="E840" s="317" t="s">
        <v>1173</v>
      </c>
      <c r="F840" s="312">
        <v>370377800</v>
      </c>
      <c r="G840" s="312">
        <v>370377800</v>
      </c>
      <c r="H840" s="123" t="str">
        <f t="shared" si="13"/>
        <v>07020110075640</v>
      </c>
    </row>
    <row r="841" spans="1:8" ht="76.5">
      <c r="A841" s="316" t="s">
        <v>1318</v>
      </c>
      <c r="B841" s="317" t="s">
        <v>207</v>
      </c>
      <c r="C841" s="317" t="s">
        <v>395</v>
      </c>
      <c r="D841" s="317" t="s">
        <v>747</v>
      </c>
      <c r="E841" s="317" t="s">
        <v>273</v>
      </c>
      <c r="F841" s="312">
        <v>336421204</v>
      </c>
      <c r="G841" s="312">
        <v>336421204</v>
      </c>
      <c r="H841" s="123" t="str">
        <f t="shared" si="13"/>
        <v>07020110075640100</v>
      </c>
    </row>
    <row r="842" spans="1:8" ht="25.5">
      <c r="A842" s="316" t="s">
        <v>1190</v>
      </c>
      <c r="B842" s="317" t="s">
        <v>207</v>
      </c>
      <c r="C842" s="317" t="s">
        <v>395</v>
      </c>
      <c r="D842" s="317" t="s">
        <v>747</v>
      </c>
      <c r="E842" s="317" t="s">
        <v>133</v>
      </c>
      <c r="F842" s="312">
        <v>336421204</v>
      </c>
      <c r="G842" s="312">
        <v>336421204</v>
      </c>
      <c r="H842" s="123" t="str">
        <f t="shared" si="13"/>
        <v>07020110075640110</v>
      </c>
    </row>
    <row r="843" spans="1:8">
      <c r="A843" s="316" t="s">
        <v>1138</v>
      </c>
      <c r="B843" s="317" t="s">
        <v>207</v>
      </c>
      <c r="C843" s="317" t="s">
        <v>395</v>
      </c>
      <c r="D843" s="317" t="s">
        <v>747</v>
      </c>
      <c r="E843" s="317" t="s">
        <v>342</v>
      </c>
      <c r="F843" s="312">
        <v>255542000</v>
      </c>
      <c r="G843" s="312">
        <v>255542000</v>
      </c>
      <c r="H843" s="123" t="str">
        <f t="shared" si="13"/>
        <v>07020110075640111</v>
      </c>
    </row>
    <row r="844" spans="1:8" ht="25.5">
      <c r="A844" s="316" t="s">
        <v>1147</v>
      </c>
      <c r="B844" s="317" t="s">
        <v>207</v>
      </c>
      <c r="C844" s="317" t="s">
        <v>395</v>
      </c>
      <c r="D844" s="317" t="s">
        <v>747</v>
      </c>
      <c r="E844" s="317" t="s">
        <v>391</v>
      </c>
      <c r="F844" s="312">
        <v>4080000</v>
      </c>
      <c r="G844" s="312">
        <v>4080000</v>
      </c>
      <c r="H844" s="123" t="str">
        <f t="shared" si="13"/>
        <v>07020110075640112</v>
      </c>
    </row>
    <row r="845" spans="1:8" ht="51">
      <c r="A845" s="316" t="s">
        <v>1139</v>
      </c>
      <c r="B845" s="317" t="s">
        <v>207</v>
      </c>
      <c r="C845" s="317" t="s">
        <v>395</v>
      </c>
      <c r="D845" s="317" t="s">
        <v>747</v>
      </c>
      <c r="E845" s="317" t="s">
        <v>1056</v>
      </c>
      <c r="F845" s="312">
        <v>76799204</v>
      </c>
      <c r="G845" s="312">
        <v>76799204</v>
      </c>
      <c r="H845" s="123" t="str">
        <f t="shared" si="13"/>
        <v>07020110075640119</v>
      </c>
    </row>
    <row r="846" spans="1:8" ht="38.25">
      <c r="A846" s="316" t="s">
        <v>1319</v>
      </c>
      <c r="B846" s="317" t="s">
        <v>207</v>
      </c>
      <c r="C846" s="317" t="s">
        <v>395</v>
      </c>
      <c r="D846" s="317" t="s">
        <v>747</v>
      </c>
      <c r="E846" s="317" t="s">
        <v>1320</v>
      </c>
      <c r="F846" s="312">
        <v>33956596</v>
      </c>
      <c r="G846" s="312">
        <v>33956596</v>
      </c>
      <c r="H846" s="123" t="str">
        <f t="shared" si="13"/>
        <v>07020110075640200</v>
      </c>
    </row>
    <row r="847" spans="1:8" ht="38.25">
      <c r="A847" s="316" t="s">
        <v>1196</v>
      </c>
      <c r="B847" s="317" t="s">
        <v>207</v>
      </c>
      <c r="C847" s="317" t="s">
        <v>395</v>
      </c>
      <c r="D847" s="317" t="s">
        <v>747</v>
      </c>
      <c r="E847" s="317" t="s">
        <v>1197</v>
      </c>
      <c r="F847" s="312">
        <v>33956596</v>
      </c>
      <c r="G847" s="312">
        <v>33956596</v>
      </c>
      <c r="H847" s="123" t="str">
        <f t="shared" si="13"/>
        <v>07020110075640240</v>
      </c>
    </row>
    <row r="848" spans="1:8">
      <c r="A848" s="316" t="s">
        <v>1223</v>
      </c>
      <c r="B848" s="317" t="s">
        <v>207</v>
      </c>
      <c r="C848" s="317" t="s">
        <v>395</v>
      </c>
      <c r="D848" s="317" t="s">
        <v>747</v>
      </c>
      <c r="E848" s="317" t="s">
        <v>329</v>
      </c>
      <c r="F848" s="312">
        <v>33956596</v>
      </c>
      <c r="G848" s="312">
        <v>33956596</v>
      </c>
      <c r="H848" s="123" t="str">
        <f t="shared" si="13"/>
        <v>07020110075640244</v>
      </c>
    </row>
    <row r="849" spans="1:8" ht="89.25">
      <c r="A849" s="316" t="s">
        <v>411</v>
      </c>
      <c r="B849" s="317" t="s">
        <v>207</v>
      </c>
      <c r="C849" s="317" t="s">
        <v>395</v>
      </c>
      <c r="D849" s="317" t="s">
        <v>761</v>
      </c>
      <c r="E849" s="317" t="s">
        <v>1173</v>
      </c>
      <c r="F849" s="312">
        <v>800000</v>
      </c>
      <c r="G849" s="312">
        <v>800000</v>
      </c>
      <c r="H849" s="123" t="str">
        <f t="shared" si="13"/>
        <v>07020110080020</v>
      </c>
    </row>
    <row r="850" spans="1:8" ht="38.25">
      <c r="A850" s="316" t="s">
        <v>1319</v>
      </c>
      <c r="B850" s="317" t="s">
        <v>207</v>
      </c>
      <c r="C850" s="317" t="s">
        <v>395</v>
      </c>
      <c r="D850" s="317" t="s">
        <v>761</v>
      </c>
      <c r="E850" s="317" t="s">
        <v>1320</v>
      </c>
      <c r="F850" s="312">
        <v>800000</v>
      </c>
      <c r="G850" s="312">
        <v>800000</v>
      </c>
      <c r="H850" s="123" t="str">
        <f t="shared" si="13"/>
        <v>07020110080020200</v>
      </c>
    </row>
    <row r="851" spans="1:8" ht="38.25">
      <c r="A851" s="316" t="s">
        <v>1196</v>
      </c>
      <c r="B851" s="317" t="s">
        <v>207</v>
      </c>
      <c r="C851" s="317" t="s">
        <v>395</v>
      </c>
      <c r="D851" s="317" t="s">
        <v>761</v>
      </c>
      <c r="E851" s="317" t="s">
        <v>1197</v>
      </c>
      <c r="F851" s="312">
        <v>800000</v>
      </c>
      <c r="G851" s="312">
        <v>800000</v>
      </c>
      <c r="H851" s="123" t="str">
        <f t="shared" si="13"/>
        <v>07020110080020240</v>
      </c>
    </row>
    <row r="852" spans="1:8">
      <c r="A852" s="316" t="s">
        <v>1223</v>
      </c>
      <c r="B852" s="317" t="s">
        <v>207</v>
      </c>
      <c r="C852" s="317" t="s">
        <v>395</v>
      </c>
      <c r="D852" s="317" t="s">
        <v>761</v>
      </c>
      <c r="E852" s="317" t="s">
        <v>329</v>
      </c>
      <c r="F852" s="312">
        <v>800000</v>
      </c>
      <c r="G852" s="312">
        <v>800000</v>
      </c>
      <c r="H852" s="123" t="str">
        <f t="shared" si="13"/>
        <v>07020110080020244</v>
      </c>
    </row>
    <row r="853" spans="1:8" ht="89.25">
      <c r="A853" s="316" t="s">
        <v>533</v>
      </c>
      <c r="B853" s="317" t="s">
        <v>207</v>
      </c>
      <c r="C853" s="317" t="s">
        <v>395</v>
      </c>
      <c r="D853" s="317" t="s">
        <v>764</v>
      </c>
      <c r="E853" s="317" t="s">
        <v>1173</v>
      </c>
      <c r="F853" s="312">
        <v>187200</v>
      </c>
      <c r="G853" s="312">
        <v>187200</v>
      </c>
      <c r="H853" s="123" t="str">
        <f t="shared" si="13"/>
        <v>07020110080040</v>
      </c>
    </row>
    <row r="854" spans="1:8" ht="25.5">
      <c r="A854" s="316" t="s">
        <v>1323</v>
      </c>
      <c r="B854" s="317" t="s">
        <v>207</v>
      </c>
      <c r="C854" s="317" t="s">
        <v>395</v>
      </c>
      <c r="D854" s="317" t="s">
        <v>764</v>
      </c>
      <c r="E854" s="317" t="s">
        <v>1324</v>
      </c>
      <c r="F854" s="312">
        <v>187200</v>
      </c>
      <c r="G854" s="312">
        <v>187200</v>
      </c>
      <c r="H854" s="123" t="str">
        <f t="shared" si="13"/>
        <v>07020110080040300</v>
      </c>
    </row>
    <row r="855" spans="1:8">
      <c r="A855" s="316" t="s">
        <v>1811</v>
      </c>
      <c r="B855" s="317" t="s">
        <v>207</v>
      </c>
      <c r="C855" s="317" t="s">
        <v>395</v>
      </c>
      <c r="D855" s="317" t="s">
        <v>764</v>
      </c>
      <c r="E855" s="317" t="s">
        <v>1812</v>
      </c>
      <c r="F855" s="312">
        <v>187200</v>
      </c>
      <c r="G855" s="312">
        <v>187200</v>
      </c>
      <c r="H855" s="123" t="str">
        <f t="shared" si="13"/>
        <v>07020110080040340</v>
      </c>
    </row>
    <row r="856" spans="1:8" ht="76.5">
      <c r="A856" s="316" t="s">
        <v>584</v>
      </c>
      <c r="B856" s="317" t="s">
        <v>207</v>
      </c>
      <c r="C856" s="317" t="s">
        <v>395</v>
      </c>
      <c r="D856" s="317" t="s">
        <v>763</v>
      </c>
      <c r="E856" s="317" t="s">
        <v>1173</v>
      </c>
      <c r="F856" s="312">
        <v>40000</v>
      </c>
      <c r="G856" s="312">
        <v>40000</v>
      </c>
      <c r="H856" s="123" t="str">
        <f t="shared" si="13"/>
        <v>0702011008П020</v>
      </c>
    </row>
    <row r="857" spans="1:8" ht="38.25">
      <c r="A857" s="316" t="s">
        <v>1319</v>
      </c>
      <c r="B857" s="317" t="s">
        <v>207</v>
      </c>
      <c r="C857" s="317" t="s">
        <v>395</v>
      </c>
      <c r="D857" s="317" t="s">
        <v>763</v>
      </c>
      <c r="E857" s="317" t="s">
        <v>1320</v>
      </c>
      <c r="F857" s="312">
        <v>40000</v>
      </c>
      <c r="G857" s="312">
        <v>40000</v>
      </c>
      <c r="H857" s="123" t="str">
        <f t="shared" si="13"/>
        <v>0702011008П020200</v>
      </c>
    </row>
    <row r="858" spans="1:8" ht="38.25">
      <c r="A858" s="316" t="s">
        <v>1196</v>
      </c>
      <c r="B858" s="317" t="s">
        <v>207</v>
      </c>
      <c r="C858" s="317" t="s">
        <v>395</v>
      </c>
      <c r="D858" s="317" t="s">
        <v>763</v>
      </c>
      <c r="E858" s="317" t="s">
        <v>1197</v>
      </c>
      <c r="F858" s="312">
        <v>40000</v>
      </c>
      <c r="G858" s="312">
        <v>40000</v>
      </c>
      <c r="H858" s="123" t="str">
        <f t="shared" si="13"/>
        <v>0702011008П020240</v>
      </c>
    </row>
    <row r="859" spans="1:8">
      <c r="A859" s="316" t="s">
        <v>1223</v>
      </c>
      <c r="B859" s="317" t="s">
        <v>207</v>
      </c>
      <c r="C859" s="317" t="s">
        <v>395</v>
      </c>
      <c r="D859" s="317" t="s">
        <v>763</v>
      </c>
      <c r="E859" s="317" t="s">
        <v>329</v>
      </c>
      <c r="F859" s="312">
        <v>40000</v>
      </c>
      <c r="G859" s="312">
        <v>40000</v>
      </c>
      <c r="H859" s="123" t="str">
        <f t="shared" si="13"/>
        <v>0702011008П020244</v>
      </c>
    </row>
    <row r="860" spans="1:8" ht="102">
      <c r="A860" s="316" t="s">
        <v>1813</v>
      </c>
      <c r="B860" s="317" t="s">
        <v>207</v>
      </c>
      <c r="C860" s="317" t="s">
        <v>395</v>
      </c>
      <c r="D860" s="317" t="s">
        <v>1358</v>
      </c>
      <c r="E860" s="317" t="s">
        <v>1173</v>
      </c>
      <c r="F860" s="312">
        <v>8404000</v>
      </c>
      <c r="G860" s="312">
        <v>8404000</v>
      </c>
      <c r="H860" s="123" t="str">
        <f t="shared" si="13"/>
        <v>070201100S5630</v>
      </c>
    </row>
    <row r="861" spans="1:8" ht="38.25">
      <c r="A861" s="316" t="s">
        <v>1319</v>
      </c>
      <c r="B861" s="317" t="s">
        <v>207</v>
      </c>
      <c r="C861" s="317" t="s">
        <v>395</v>
      </c>
      <c r="D861" s="317" t="s">
        <v>1358</v>
      </c>
      <c r="E861" s="317" t="s">
        <v>1320</v>
      </c>
      <c r="F861" s="312">
        <v>8404000</v>
      </c>
      <c r="G861" s="312">
        <v>8404000</v>
      </c>
      <c r="H861" s="123" t="str">
        <f t="shared" si="13"/>
        <v>070201100S5630200</v>
      </c>
    </row>
    <row r="862" spans="1:8" ht="38.25">
      <c r="A862" s="316" t="s">
        <v>1196</v>
      </c>
      <c r="B862" s="317" t="s">
        <v>207</v>
      </c>
      <c r="C862" s="317" t="s">
        <v>395</v>
      </c>
      <c r="D862" s="317" t="s">
        <v>1358</v>
      </c>
      <c r="E862" s="317" t="s">
        <v>1197</v>
      </c>
      <c r="F862" s="312">
        <v>8404000</v>
      </c>
      <c r="G862" s="312">
        <v>8404000</v>
      </c>
      <c r="H862" s="123" t="str">
        <f t="shared" si="13"/>
        <v>070201100S5630240</v>
      </c>
    </row>
    <row r="863" spans="1:8">
      <c r="A863" s="316" t="s">
        <v>1223</v>
      </c>
      <c r="B863" s="317" t="s">
        <v>207</v>
      </c>
      <c r="C863" s="317" t="s">
        <v>395</v>
      </c>
      <c r="D863" s="317" t="s">
        <v>1358</v>
      </c>
      <c r="E863" s="317" t="s">
        <v>329</v>
      </c>
      <c r="F863" s="312">
        <v>8404000</v>
      </c>
      <c r="G863" s="312">
        <v>8404000</v>
      </c>
      <c r="H863" s="123" t="str">
        <f t="shared" si="13"/>
        <v>070201100S5630244</v>
      </c>
    </row>
    <row r="864" spans="1:8" ht="140.25">
      <c r="A864" s="316" t="s">
        <v>1771</v>
      </c>
      <c r="B864" s="317" t="s">
        <v>207</v>
      </c>
      <c r="C864" s="317" t="s">
        <v>395</v>
      </c>
      <c r="D864" s="317" t="s">
        <v>1639</v>
      </c>
      <c r="E864" s="317" t="s">
        <v>1173</v>
      </c>
      <c r="F864" s="312">
        <v>15186900</v>
      </c>
      <c r="G864" s="312">
        <v>6489700</v>
      </c>
      <c r="H864" s="123" t="str">
        <f t="shared" si="13"/>
        <v>0702011E151690</v>
      </c>
    </row>
    <row r="865" spans="1:8" ht="38.25">
      <c r="A865" s="316" t="s">
        <v>1319</v>
      </c>
      <c r="B865" s="317" t="s">
        <v>207</v>
      </c>
      <c r="C865" s="317" t="s">
        <v>395</v>
      </c>
      <c r="D865" s="317" t="s">
        <v>1639</v>
      </c>
      <c r="E865" s="317" t="s">
        <v>1320</v>
      </c>
      <c r="F865" s="312">
        <v>15186900</v>
      </c>
      <c r="G865" s="312">
        <v>6489700</v>
      </c>
      <c r="H865" s="123" t="str">
        <f t="shared" si="13"/>
        <v>0702011E151690200</v>
      </c>
    </row>
    <row r="866" spans="1:8" ht="38.25">
      <c r="A866" s="316" t="s">
        <v>1196</v>
      </c>
      <c r="B866" s="317" t="s">
        <v>207</v>
      </c>
      <c r="C866" s="317" t="s">
        <v>395</v>
      </c>
      <c r="D866" s="317" t="s">
        <v>1639</v>
      </c>
      <c r="E866" s="317" t="s">
        <v>1197</v>
      </c>
      <c r="F866" s="312">
        <v>15186900</v>
      </c>
      <c r="G866" s="312">
        <v>6489700</v>
      </c>
      <c r="H866" s="123" t="str">
        <f t="shared" si="13"/>
        <v>0702011E151690240</v>
      </c>
    </row>
    <row r="867" spans="1:8">
      <c r="A867" s="316" t="s">
        <v>1223</v>
      </c>
      <c r="B867" s="317" t="s">
        <v>207</v>
      </c>
      <c r="C867" s="317" t="s">
        <v>395</v>
      </c>
      <c r="D867" s="317" t="s">
        <v>1639</v>
      </c>
      <c r="E867" s="317" t="s">
        <v>329</v>
      </c>
      <c r="F867" s="312">
        <v>15186900</v>
      </c>
      <c r="G867" s="312">
        <v>6489700</v>
      </c>
      <c r="H867" s="123" t="str">
        <f t="shared" si="13"/>
        <v>0702011E151690244</v>
      </c>
    </row>
    <row r="868" spans="1:8" ht="63.75">
      <c r="A868" s="316" t="s">
        <v>452</v>
      </c>
      <c r="B868" s="317" t="s">
        <v>207</v>
      </c>
      <c r="C868" s="317" t="s">
        <v>395</v>
      </c>
      <c r="D868" s="317" t="s">
        <v>974</v>
      </c>
      <c r="E868" s="317" t="s">
        <v>1173</v>
      </c>
      <c r="F868" s="312">
        <v>2400000</v>
      </c>
      <c r="G868" s="312">
        <v>2400000</v>
      </c>
      <c r="H868" s="123" t="str">
        <f t="shared" si="13"/>
        <v>07020300000000</v>
      </c>
    </row>
    <row r="869" spans="1:8" ht="51">
      <c r="A869" s="316" t="s">
        <v>454</v>
      </c>
      <c r="B869" s="317" t="s">
        <v>207</v>
      </c>
      <c r="C869" s="317" t="s">
        <v>395</v>
      </c>
      <c r="D869" s="317" t="s">
        <v>1313</v>
      </c>
      <c r="E869" s="317" t="s">
        <v>1173</v>
      </c>
      <c r="F869" s="312">
        <v>2400000</v>
      </c>
      <c r="G869" s="312">
        <v>2400000</v>
      </c>
      <c r="H869" s="123" t="str">
        <f t="shared" si="13"/>
        <v>07020340000000</v>
      </c>
    </row>
    <row r="870" spans="1:8" ht="114.75">
      <c r="A870" s="316" t="s">
        <v>396</v>
      </c>
      <c r="B870" s="317" t="s">
        <v>207</v>
      </c>
      <c r="C870" s="317" t="s">
        <v>395</v>
      </c>
      <c r="D870" s="317" t="s">
        <v>765</v>
      </c>
      <c r="E870" s="317" t="s">
        <v>1173</v>
      </c>
      <c r="F870" s="312">
        <v>2400000</v>
      </c>
      <c r="G870" s="312">
        <v>2400000</v>
      </c>
      <c r="H870" s="123" t="str">
        <f t="shared" ref="H870:H933" si="14">CONCATENATE(C870,,D870,E870)</f>
        <v>07020340080000</v>
      </c>
    </row>
    <row r="871" spans="1:8" ht="38.25">
      <c r="A871" s="316" t="s">
        <v>1319</v>
      </c>
      <c r="B871" s="317" t="s">
        <v>207</v>
      </c>
      <c r="C871" s="317" t="s">
        <v>395</v>
      </c>
      <c r="D871" s="317" t="s">
        <v>765</v>
      </c>
      <c r="E871" s="317" t="s">
        <v>1320</v>
      </c>
      <c r="F871" s="312">
        <v>2400000</v>
      </c>
      <c r="G871" s="312">
        <v>2400000</v>
      </c>
      <c r="H871" s="123" t="str">
        <f t="shared" si="14"/>
        <v>07020340080000200</v>
      </c>
    </row>
    <row r="872" spans="1:8" ht="38.25">
      <c r="A872" s="316" t="s">
        <v>1196</v>
      </c>
      <c r="B872" s="317" t="s">
        <v>207</v>
      </c>
      <c r="C872" s="317" t="s">
        <v>395</v>
      </c>
      <c r="D872" s="317" t="s">
        <v>765</v>
      </c>
      <c r="E872" s="317" t="s">
        <v>1197</v>
      </c>
      <c r="F872" s="312">
        <v>2400000</v>
      </c>
      <c r="G872" s="312">
        <v>2400000</v>
      </c>
      <c r="H872" s="123" t="str">
        <f t="shared" si="14"/>
        <v>07020340080000240</v>
      </c>
    </row>
    <row r="873" spans="1:8">
      <c r="A873" s="316" t="s">
        <v>1223</v>
      </c>
      <c r="B873" s="317" t="s">
        <v>207</v>
      </c>
      <c r="C873" s="317" t="s">
        <v>395</v>
      </c>
      <c r="D873" s="317" t="s">
        <v>765</v>
      </c>
      <c r="E873" s="317" t="s">
        <v>329</v>
      </c>
      <c r="F873" s="312">
        <v>2400000</v>
      </c>
      <c r="G873" s="312">
        <v>2400000</v>
      </c>
      <c r="H873" s="123" t="str">
        <f t="shared" si="14"/>
        <v>07020340080000244</v>
      </c>
    </row>
    <row r="874" spans="1:8">
      <c r="A874" s="316" t="s">
        <v>1077</v>
      </c>
      <c r="B874" s="317" t="s">
        <v>207</v>
      </c>
      <c r="C874" s="317" t="s">
        <v>1078</v>
      </c>
      <c r="D874" s="317" t="s">
        <v>1173</v>
      </c>
      <c r="E874" s="317" t="s">
        <v>1173</v>
      </c>
      <c r="F874" s="312">
        <v>60833656</v>
      </c>
      <c r="G874" s="312">
        <v>60833656</v>
      </c>
      <c r="H874" s="123" t="str">
        <f t="shared" si="14"/>
        <v>0703</v>
      </c>
    </row>
    <row r="875" spans="1:8" ht="25.5">
      <c r="A875" s="316" t="s">
        <v>442</v>
      </c>
      <c r="B875" s="317" t="s">
        <v>207</v>
      </c>
      <c r="C875" s="317" t="s">
        <v>1078</v>
      </c>
      <c r="D875" s="317" t="s">
        <v>971</v>
      </c>
      <c r="E875" s="317" t="s">
        <v>1173</v>
      </c>
      <c r="F875" s="312">
        <v>60753656</v>
      </c>
      <c r="G875" s="312">
        <v>60753656</v>
      </c>
      <c r="H875" s="123" t="str">
        <f t="shared" si="14"/>
        <v>07030100000000</v>
      </c>
    </row>
    <row r="876" spans="1:8" ht="38.25">
      <c r="A876" s="316" t="s">
        <v>443</v>
      </c>
      <c r="B876" s="317" t="s">
        <v>207</v>
      </c>
      <c r="C876" s="317" t="s">
        <v>1078</v>
      </c>
      <c r="D876" s="317" t="s">
        <v>972</v>
      </c>
      <c r="E876" s="317" t="s">
        <v>1173</v>
      </c>
      <c r="F876" s="312">
        <v>60753656</v>
      </c>
      <c r="G876" s="312">
        <v>60753656</v>
      </c>
      <c r="H876" s="123" t="str">
        <f t="shared" si="14"/>
        <v>07030110000000</v>
      </c>
    </row>
    <row r="877" spans="1:8" ht="140.25">
      <c r="A877" s="316" t="s">
        <v>414</v>
      </c>
      <c r="B877" s="317" t="s">
        <v>207</v>
      </c>
      <c r="C877" s="317" t="s">
        <v>1078</v>
      </c>
      <c r="D877" s="317" t="s">
        <v>754</v>
      </c>
      <c r="E877" s="317" t="s">
        <v>1173</v>
      </c>
      <c r="F877" s="312">
        <v>2806000</v>
      </c>
      <c r="G877" s="312">
        <v>2806000</v>
      </c>
      <c r="H877" s="123" t="str">
        <f t="shared" si="14"/>
        <v>07030110040030</v>
      </c>
    </row>
    <row r="878" spans="1:8" ht="38.25">
      <c r="A878" s="316" t="s">
        <v>1327</v>
      </c>
      <c r="B878" s="317" t="s">
        <v>207</v>
      </c>
      <c r="C878" s="317" t="s">
        <v>1078</v>
      </c>
      <c r="D878" s="317" t="s">
        <v>754</v>
      </c>
      <c r="E878" s="317" t="s">
        <v>1328</v>
      </c>
      <c r="F878" s="312">
        <v>2806000</v>
      </c>
      <c r="G878" s="312">
        <v>2806000</v>
      </c>
      <c r="H878" s="123" t="str">
        <f t="shared" si="14"/>
        <v>07030110040030600</v>
      </c>
    </row>
    <row r="879" spans="1:8">
      <c r="A879" s="316" t="s">
        <v>1198</v>
      </c>
      <c r="B879" s="317" t="s">
        <v>207</v>
      </c>
      <c r="C879" s="317" t="s">
        <v>1078</v>
      </c>
      <c r="D879" s="317" t="s">
        <v>754</v>
      </c>
      <c r="E879" s="317" t="s">
        <v>1199</v>
      </c>
      <c r="F879" s="312">
        <v>2806000</v>
      </c>
      <c r="G879" s="312">
        <v>2806000</v>
      </c>
      <c r="H879" s="123" t="str">
        <f t="shared" si="14"/>
        <v>07030110040030610</v>
      </c>
    </row>
    <row r="880" spans="1:8" ht="76.5">
      <c r="A880" s="316" t="s">
        <v>347</v>
      </c>
      <c r="B880" s="317" t="s">
        <v>207</v>
      </c>
      <c r="C880" s="317" t="s">
        <v>1078</v>
      </c>
      <c r="D880" s="317" t="s">
        <v>754</v>
      </c>
      <c r="E880" s="317" t="s">
        <v>348</v>
      </c>
      <c r="F880" s="312">
        <v>2806000</v>
      </c>
      <c r="G880" s="312">
        <v>2806000</v>
      </c>
      <c r="H880" s="123" t="str">
        <f t="shared" si="14"/>
        <v>07030110040030611</v>
      </c>
    </row>
    <row r="881" spans="1:8" ht="140.25">
      <c r="A881" s="316" t="s">
        <v>1786</v>
      </c>
      <c r="B881" s="317" t="s">
        <v>207</v>
      </c>
      <c r="C881" s="317" t="s">
        <v>1078</v>
      </c>
      <c r="D881" s="317" t="s">
        <v>1787</v>
      </c>
      <c r="E881" s="317" t="s">
        <v>1173</v>
      </c>
      <c r="F881" s="312">
        <v>16375400</v>
      </c>
      <c r="G881" s="312">
        <v>16375400</v>
      </c>
      <c r="H881" s="123" t="str">
        <f t="shared" si="14"/>
        <v>07030110040031</v>
      </c>
    </row>
    <row r="882" spans="1:8" ht="38.25">
      <c r="A882" s="316" t="s">
        <v>1327</v>
      </c>
      <c r="B882" s="317" t="s">
        <v>207</v>
      </c>
      <c r="C882" s="317" t="s">
        <v>1078</v>
      </c>
      <c r="D882" s="317" t="s">
        <v>1787</v>
      </c>
      <c r="E882" s="317" t="s">
        <v>1328</v>
      </c>
      <c r="F882" s="312">
        <v>16375400</v>
      </c>
      <c r="G882" s="312">
        <v>16375400</v>
      </c>
      <c r="H882" s="123" t="str">
        <f t="shared" si="14"/>
        <v>07030110040031600</v>
      </c>
    </row>
    <row r="883" spans="1:8">
      <c r="A883" s="316" t="s">
        <v>1198</v>
      </c>
      <c r="B883" s="317" t="s">
        <v>207</v>
      </c>
      <c r="C883" s="317" t="s">
        <v>1078</v>
      </c>
      <c r="D883" s="317" t="s">
        <v>1787</v>
      </c>
      <c r="E883" s="317" t="s">
        <v>1199</v>
      </c>
      <c r="F883" s="312">
        <v>16375400</v>
      </c>
      <c r="G883" s="312">
        <v>16375400</v>
      </c>
      <c r="H883" s="123" t="str">
        <f t="shared" si="14"/>
        <v>07030110040031610</v>
      </c>
    </row>
    <row r="884" spans="1:8" ht="76.5">
      <c r="A884" s="316" t="s">
        <v>347</v>
      </c>
      <c r="B884" s="317" t="s">
        <v>207</v>
      </c>
      <c r="C884" s="317" t="s">
        <v>1078</v>
      </c>
      <c r="D884" s="317" t="s">
        <v>1787</v>
      </c>
      <c r="E884" s="317" t="s">
        <v>348</v>
      </c>
      <c r="F884" s="312">
        <v>16375400</v>
      </c>
      <c r="G884" s="312">
        <v>16375400</v>
      </c>
      <c r="H884" s="123" t="str">
        <f t="shared" si="14"/>
        <v>07030110040031611</v>
      </c>
    </row>
    <row r="885" spans="1:8" ht="191.25">
      <c r="A885" s="316" t="s">
        <v>1474</v>
      </c>
      <c r="B885" s="317" t="s">
        <v>207</v>
      </c>
      <c r="C885" s="317" t="s">
        <v>1078</v>
      </c>
      <c r="D885" s="317" t="s">
        <v>1475</v>
      </c>
      <c r="E885" s="317" t="s">
        <v>1173</v>
      </c>
      <c r="F885" s="312">
        <v>651000</v>
      </c>
      <c r="G885" s="312">
        <v>651000</v>
      </c>
      <c r="H885" s="123" t="str">
        <f t="shared" si="14"/>
        <v>07030110040032</v>
      </c>
    </row>
    <row r="886" spans="1:8" ht="38.25">
      <c r="A886" s="316" t="s">
        <v>1327</v>
      </c>
      <c r="B886" s="317" t="s">
        <v>207</v>
      </c>
      <c r="C886" s="317" t="s">
        <v>1078</v>
      </c>
      <c r="D886" s="317" t="s">
        <v>1475</v>
      </c>
      <c r="E886" s="317" t="s">
        <v>1328</v>
      </c>
      <c r="F886" s="312">
        <v>651000</v>
      </c>
      <c r="G886" s="312">
        <v>651000</v>
      </c>
      <c r="H886" s="123" t="str">
        <f t="shared" si="14"/>
        <v>07030110040032600</v>
      </c>
    </row>
    <row r="887" spans="1:8">
      <c r="A887" s="316" t="s">
        <v>1198</v>
      </c>
      <c r="B887" s="317" t="s">
        <v>207</v>
      </c>
      <c r="C887" s="317" t="s">
        <v>1078</v>
      </c>
      <c r="D887" s="317" t="s">
        <v>1475</v>
      </c>
      <c r="E887" s="317" t="s">
        <v>1199</v>
      </c>
      <c r="F887" s="312">
        <v>651000</v>
      </c>
      <c r="G887" s="312">
        <v>651000</v>
      </c>
      <c r="H887" s="123" t="str">
        <f t="shared" si="14"/>
        <v>07030110040032610</v>
      </c>
    </row>
    <row r="888" spans="1:8" ht="76.5">
      <c r="A888" s="316" t="s">
        <v>347</v>
      </c>
      <c r="B888" s="317" t="s">
        <v>207</v>
      </c>
      <c r="C888" s="317" t="s">
        <v>1078</v>
      </c>
      <c r="D888" s="317" t="s">
        <v>1475</v>
      </c>
      <c r="E888" s="317" t="s">
        <v>348</v>
      </c>
      <c r="F888" s="312">
        <v>651000</v>
      </c>
      <c r="G888" s="312">
        <v>651000</v>
      </c>
      <c r="H888" s="123" t="str">
        <f t="shared" si="14"/>
        <v>07030110040032611</v>
      </c>
    </row>
    <row r="889" spans="1:8" ht="229.5">
      <c r="A889" s="316" t="s">
        <v>1476</v>
      </c>
      <c r="B889" s="317" t="s">
        <v>207</v>
      </c>
      <c r="C889" s="317" t="s">
        <v>1078</v>
      </c>
      <c r="D889" s="317" t="s">
        <v>1477</v>
      </c>
      <c r="E889" s="317" t="s">
        <v>1173</v>
      </c>
      <c r="F889" s="312">
        <v>1411400</v>
      </c>
      <c r="G889" s="312">
        <v>1411400</v>
      </c>
      <c r="H889" s="123" t="str">
        <f t="shared" si="14"/>
        <v>07030110040033</v>
      </c>
    </row>
    <row r="890" spans="1:8" ht="38.25">
      <c r="A890" s="316" t="s">
        <v>1327</v>
      </c>
      <c r="B890" s="317" t="s">
        <v>207</v>
      </c>
      <c r="C890" s="317" t="s">
        <v>1078</v>
      </c>
      <c r="D890" s="317" t="s">
        <v>1477</v>
      </c>
      <c r="E890" s="317" t="s">
        <v>1328</v>
      </c>
      <c r="F890" s="312">
        <v>1411400</v>
      </c>
      <c r="G890" s="312">
        <v>1411400</v>
      </c>
      <c r="H890" s="123" t="str">
        <f t="shared" si="14"/>
        <v>07030110040033600</v>
      </c>
    </row>
    <row r="891" spans="1:8">
      <c r="A891" s="316" t="s">
        <v>1198</v>
      </c>
      <c r="B891" s="317" t="s">
        <v>207</v>
      </c>
      <c r="C891" s="317" t="s">
        <v>1078</v>
      </c>
      <c r="D891" s="317" t="s">
        <v>1477</v>
      </c>
      <c r="E891" s="317" t="s">
        <v>1199</v>
      </c>
      <c r="F891" s="312">
        <v>1411400</v>
      </c>
      <c r="G891" s="312">
        <v>1411400</v>
      </c>
      <c r="H891" s="123" t="str">
        <f t="shared" si="14"/>
        <v>07030110040033610</v>
      </c>
    </row>
    <row r="892" spans="1:8" ht="76.5">
      <c r="A892" s="316" t="s">
        <v>347</v>
      </c>
      <c r="B892" s="317" t="s">
        <v>207</v>
      </c>
      <c r="C892" s="317" t="s">
        <v>1078</v>
      </c>
      <c r="D892" s="317" t="s">
        <v>1477</v>
      </c>
      <c r="E892" s="317" t="s">
        <v>348</v>
      </c>
      <c r="F892" s="312">
        <v>1411400</v>
      </c>
      <c r="G892" s="312">
        <v>1411400</v>
      </c>
      <c r="H892" s="123" t="str">
        <f t="shared" si="14"/>
        <v>07030110040033611</v>
      </c>
    </row>
    <row r="893" spans="1:8" ht="191.25">
      <c r="A893" s="316" t="s">
        <v>576</v>
      </c>
      <c r="B893" s="317" t="s">
        <v>207</v>
      </c>
      <c r="C893" s="317" t="s">
        <v>1078</v>
      </c>
      <c r="D893" s="317" t="s">
        <v>755</v>
      </c>
      <c r="E893" s="317" t="s">
        <v>1173</v>
      </c>
      <c r="F893" s="312">
        <v>4551000</v>
      </c>
      <c r="G893" s="312">
        <v>4551000</v>
      </c>
      <c r="H893" s="123" t="str">
        <f t="shared" si="14"/>
        <v>07030110041030</v>
      </c>
    </row>
    <row r="894" spans="1:8" ht="38.25">
      <c r="A894" s="316" t="s">
        <v>1327</v>
      </c>
      <c r="B894" s="317" t="s">
        <v>207</v>
      </c>
      <c r="C894" s="317" t="s">
        <v>1078</v>
      </c>
      <c r="D894" s="317" t="s">
        <v>755</v>
      </c>
      <c r="E894" s="317" t="s">
        <v>1328</v>
      </c>
      <c r="F894" s="312">
        <v>4551000</v>
      </c>
      <c r="G894" s="312">
        <v>4551000</v>
      </c>
      <c r="H894" s="123" t="str">
        <f t="shared" si="14"/>
        <v>07030110041030600</v>
      </c>
    </row>
    <row r="895" spans="1:8">
      <c r="A895" s="316" t="s">
        <v>1198</v>
      </c>
      <c r="B895" s="317" t="s">
        <v>207</v>
      </c>
      <c r="C895" s="317" t="s">
        <v>1078</v>
      </c>
      <c r="D895" s="317" t="s">
        <v>755</v>
      </c>
      <c r="E895" s="317" t="s">
        <v>1199</v>
      </c>
      <c r="F895" s="312">
        <v>4551000</v>
      </c>
      <c r="G895" s="312">
        <v>4551000</v>
      </c>
      <c r="H895" s="123" t="str">
        <f t="shared" si="14"/>
        <v>07030110041030610</v>
      </c>
    </row>
    <row r="896" spans="1:8" ht="76.5">
      <c r="A896" s="316" t="s">
        <v>347</v>
      </c>
      <c r="B896" s="317" t="s">
        <v>207</v>
      </c>
      <c r="C896" s="317" t="s">
        <v>1078</v>
      </c>
      <c r="D896" s="317" t="s">
        <v>755</v>
      </c>
      <c r="E896" s="317" t="s">
        <v>348</v>
      </c>
      <c r="F896" s="312">
        <v>4551000</v>
      </c>
      <c r="G896" s="312">
        <v>4551000</v>
      </c>
      <c r="H896" s="123" t="str">
        <f t="shared" si="14"/>
        <v>07030110041030611</v>
      </c>
    </row>
    <row r="897" spans="1:8" ht="102">
      <c r="A897" s="316" t="s">
        <v>1788</v>
      </c>
      <c r="B897" s="317" t="s">
        <v>207</v>
      </c>
      <c r="C897" s="317" t="s">
        <v>1078</v>
      </c>
      <c r="D897" s="317" t="s">
        <v>1789</v>
      </c>
      <c r="E897" s="317" t="s">
        <v>1173</v>
      </c>
      <c r="F897" s="312">
        <v>15752100</v>
      </c>
      <c r="G897" s="312">
        <v>15752100</v>
      </c>
      <c r="H897" s="123" t="str">
        <f t="shared" si="14"/>
        <v>07030110042030</v>
      </c>
    </row>
    <row r="898" spans="1:8" ht="38.25">
      <c r="A898" s="316" t="s">
        <v>1327</v>
      </c>
      <c r="B898" s="317" t="s">
        <v>207</v>
      </c>
      <c r="C898" s="317" t="s">
        <v>1078</v>
      </c>
      <c r="D898" s="317" t="s">
        <v>1789</v>
      </c>
      <c r="E898" s="317" t="s">
        <v>1328</v>
      </c>
      <c r="F898" s="312">
        <v>15752100</v>
      </c>
      <c r="G898" s="312">
        <v>15752100</v>
      </c>
      <c r="H898" s="123" t="str">
        <f t="shared" si="14"/>
        <v>07030110042030600</v>
      </c>
    </row>
    <row r="899" spans="1:8">
      <c r="A899" s="316" t="s">
        <v>1198</v>
      </c>
      <c r="B899" s="317" t="s">
        <v>207</v>
      </c>
      <c r="C899" s="317" t="s">
        <v>1078</v>
      </c>
      <c r="D899" s="317" t="s">
        <v>1789</v>
      </c>
      <c r="E899" s="317" t="s">
        <v>1199</v>
      </c>
      <c r="F899" s="312">
        <v>15752100</v>
      </c>
      <c r="G899" s="312">
        <v>15752100</v>
      </c>
      <c r="H899" s="123" t="str">
        <f t="shared" si="14"/>
        <v>07030110042030610</v>
      </c>
    </row>
    <row r="900" spans="1:8" ht="76.5">
      <c r="A900" s="316" t="s">
        <v>347</v>
      </c>
      <c r="B900" s="317" t="s">
        <v>207</v>
      </c>
      <c r="C900" s="317" t="s">
        <v>1078</v>
      </c>
      <c r="D900" s="317" t="s">
        <v>1789</v>
      </c>
      <c r="E900" s="317" t="s">
        <v>348</v>
      </c>
      <c r="F900" s="312">
        <v>15229162</v>
      </c>
      <c r="G900" s="312">
        <v>15229162</v>
      </c>
      <c r="H900" s="123" t="str">
        <f t="shared" si="14"/>
        <v>07030110042030611</v>
      </c>
    </row>
    <row r="901" spans="1:8" ht="25.5">
      <c r="A901" s="316" t="s">
        <v>1790</v>
      </c>
      <c r="B901" s="317" t="s">
        <v>207</v>
      </c>
      <c r="C901" s="317" t="s">
        <v>1078</v>
      </c>
      <c r="D901" s="317" t="s">
        <v>1789</v>
      </c>
      <c r="E901" s="317" t="s">
        <v>1791</v>
      </c>
      <c r="F901" s="312">
        <v>522938</v>
      </c>
      <c r="G901" s="312">
        <v>522938</v>
      </c>
      <c r="H901" s="123" t="str">
        <f t="shared" si="14"/>
        <v>07030110042030613</v>
      </c>
    </row>
    <row r="902" spans="1:8" ht="153">
      <c r="A902" s="316" t="s">
        <v>577</v>
      </c>
      <c r="B902" s="317" t="s">
        <v>207</v>
      </c>
      <c r="C902" s="317" t="s">
        <v>1078</v>
      </c>
      <c r="D902" s="317" t="s">
        <v>756</v>
      </c>
      <c r="E902" s="317" t="s">
        <v>1173</v>
      </c>
      <c r="F902" s="312">
        <v>78700</v>
      </c>
      <c r="G902" s="312">
        <v>78700</v>
      </c>
      <c r="H902" s="123" t="str">
        <f t="shared" si="14"/>
        <v>07030110045030</v>
      </c>
    </row>
    <row r="903" spans="1:8" ht="38.25">
      <c r="A903" s="316" t="s">
        <v>1327</v>
      </c>
      <c r="B903" s="317" t="s">
        <v>207</v>
      </c>
      <c r="C903" s="317" t="s">
        <v>1078</v>
      </c>
      <c r="D903" s="317" t="s">
        <v>756</v>
      </c>
      <c r="E903" s="317" t="s">
        <v>1328</v>
      </c>
      <c r="F903" s="312">
        <v>78700</v>
      </c>
      <c r="G903" s="312">
        <v>78700</v>
      </c>
      <c r="H903" s="123" t="str">
        <f t="shared" si="14"/>
        <v>07030110045030600</v>
      </c>
    </row>
    <row r="904" spans="1:8">
      <c r="A904" s="316" t="s">
        <v>1198</v>
      </c>
      <c r="B904" s="317" t="s">
        <v>207</v>
      </c>
      <c r="C904" s="317" t="s">
        <v>1078</v>
      </c>
      <c r="D904" s="317" t="s">
        <v>756</v>
      </c>
      <c r="E904" s="317" t="s">
        <v>1199</v>
      </c>
      <c r="F904" s="312">
        <v>78700</v>
      </c>
      <c r="G904" s="312">
        <v>78700</v>
      </c>
      <c r="H904" s="123" t="str">
        <f t="shared" si="14"/>
        <v>07030110045030610</v>
      </c>
    </row>
    <row r="905" spans="1:8" ht="76.5">
      <c r="A905" s="316" t="s">
        <v>347</v>
      </c>
      <c r="B905" s="317" t="s">
        <v>207</v>
      </c>
      <c r="C905" s="317" t="s">
        <v>1078</v>
      </c>
      <c r="D905" s="317" t="s">
        <v>756</v>
      </c>
      <c r="E905" s="317" t="s">
        <v>348</v>
      </c>
      <c r="F905" s="312">
        <v>78700</v>
      </c>
      <c r="G905" s="312">
        <v>78700</v>
      </c>
      <c r="H905" s="123" t="str">
        <f t="shared" si="14"/>
        <v>07030110045030611</v>
      </c>
    </row>
    <row r="906" spans="1:8" ht="140.25">
      <c r="A906" s="316" t="s">
        <v>579</v>
      </c>
      <c r="B906" s="317" t="s">
        <v>207</v>
      </c>
      <c r="C906" s="317" t="s">
        <v>1078</v>
      </c>
      <c r="D906" s="317" t="s">
        <v>759</v>
      </c>
      <c r="E906" s="317" t="s">
        <v>1173</v>
      </c>
      <c r="F906" s="312">
        <v>570000</v>
      </c>
      <c r="G906" s="312">
        <v>570000</v>
      </c>
      <c r="H906" s="123" t="str">
        <f t="shared" si="14"/>
        <v>07030110047030</v>
      </c>
    </row>
    <row r="907" spans="1:8" ht="38.25">
      <c r="A907" s="316" t="s">
        <v>1327</v>
      </c>
      <c r="B907" s="317" t="s">
        <v>207</v>
      </c>
      <c r="C907" s="317" t="s">
        <v>1078</v>
      </c>
      <c r="D907" s="317" t="s">
        <v>759</v>
      </c>
      <c r="E907" s="317" t="s">
        <v>1328</v>
      </c>
      <c r="F907" s="312">
        <v>570000</v>
      </c>
      <c r="G907" s="312">
        <v>570000</v>
      </c>
      <c r="H907" s="123" t="str">
        <f t="shared" si="14"/>
        <v>07030110047030600</v>
      </c>
    </row>
    <row r="908" spans="1:8">
      <c r="A908" s="316" t="s">
        <v>1198</v>
      </c>
      <c r="B908" s="317" t="s">
        <v>207</v>
      </c>
      <c r="C908" s="317" t="s">
        <v>1078</v>
      </c>
      <c r="D908" s="317" t="s">
        <v>759</v>
      </c>
      <c r="E908" s="317" t="s">
        <v>1199</v>
      </c>
      <c r="F908" s="312">
        <v>570000</v>
      </c>
      <c r="G908" s="312">
        <v>570000</v>
      </c>
      <c r="H908" s="123" t="str">
        <f t="shared" si="14"/>
        <v>07030110047030610</v>
      </c>
    </row>
    <row r="909" spans="1:8" ht="25.5">
      <c r="A909" s="316" t="s">
        <v>366</v>
      </c>
      <c r="B909" s="317" t="s">
        <v>207</v>
      </c>
      <c r="C909" s="317" t="s">
        <v>1078</v>
      </c>
      <c r="D909" s="317" t="s">
        <v>759</v>
      </c>
      <c r="E909" s="317" t="s">
        <v>367</v>
      </c>
      <c r="F909" s="312">
        <v>570000</v>
      </c>
      <c r="G909" s="312">
        <v>570000</v>
      </c>
      <c r="H909" s="123" t="str">
        <f t="shared" si="14"/>
        <v>07030110047030612</v>
      </c>
    </row>
    <row r="910" spans="1:8" ht="153">
      <c r="A910" s="316" t="s">
        <v>581</v>
      </c>
      <c r="B910" s="317" t="s">
        <v>207</v>
      </c>
      <c r="C910" s="317" t="s">
        <v>1078</v>
      </c>
      <c r="D910" s="317" t="s">
        <v>760</v>
      </c>
      <c r="E910" s="317" t="s">
        <v>1173</v>
      </c>
      <c r="F910" s="312">
        <v>2438256</v>
      </c>
      <c r="G910" s="312">
        <v>2438256</v>
      </c>
      <c r="H910" s="123" t="str">
        <f t="shared" si="14"/>
        <v>0703011004Г030</v>
      </c>
    </row>
    <row r="911" spans="1:8" ht="38.25">
      <c r="A911" s="316" t="s">
        <v>1327</v>
      </c>
      <c r="B911" s="317" t="s">
        <v>207</v>
      </c>
      <c r="C911" s="317" t="s">
        <v>1078</v>
      </c>
      <c r="D911" s="317" t="s">
        <v>760</v>
      </c>
      <c r="E911" s="317" t="s">
        <v>1328</v>
      </c>
      <c r="F911" s="312">
        <v>2438256</v>
      </c>
      <c r="G911" s="312">
        <v>2438256</v>
      </c>
      <c r="H911" s="123" t="str">
        <f t="shared" si="14"/>
        <v>0703011004Г030600</v>
      </c>
    </row>
    <row r="912" spans="1:8">
      <c r="A912" s="316" t="s">
        <v>1198</v>
      </c>
      <c r="B912" s="317" t="s">
        <v>207</v>
      </c>
      <c r="C912" s="317" t="s">
        <v>1078</v>
      </c>
      <c r="D912" s="317" t="s">
        <v>760</v>
      </c>
      <c r="E912" s="317" t="s">
        <v>1199</v>
      </c>
      <c r="F912" s="312">
        <v>2438256</v>
      </c>
      <c r="G912" s="312">
        <v>2438256</v>
      </c>
      <c r="H912" s="123" t="str">
        <f t="shared" si="14"/>
        <v>0703011004Г030610</v>
      </c>
    </row>
    <row r="913" spans="1:8" ht="76.5">
      <c r="A913" s="316" t="s">
        <v>347</v>
      </c>
      <c r="B913" s="317" t="s">
        <v>207</v>
      </c>
      <c r="C913" s="317" t="s">
        <v>1078</v>
      </c>
      <c r="D913" s="317" t="s">
        <v>760</v>
      </c>
      <c r="E913" s="317" t="s">
        <v>348</v>
      </c>
      <c r="F913" s="312">
        <v>2438256</v>
      </c>
      <c r="G913" s="312">
        <v>2438256</v>
      </c>
      <c r="H913" s="123" t="str">
        <f t="shared" si="14"/>
        <v>0703011004Г030611</v>
      </c>
    </row>
    <row r="914" spans="1:8" ht="153">
      <c r="A914" s="316" t="s">
        <v>1847</v>
      </c>
      <c r="B914" s="317" t="s">
        <v>207</v>
      </c>
      <c r="C914" s="317" t="s">
        <v>1078</v>
      </c>
      <c r="D914" s="317" t="s">
        <v>1848</v>
      </c>
      <c r="E914" s="317" t="s">
        <v>1173</v>
      </c>
      <c r="F914" s="312">
        <v>37200</v>
      </c>
      <c r="G914" s="312">
        <v>37200</v>
      </c>
      <c r="H914" s="123" t="str">
        <f t="shared" si="14"/>
        <v>0703011004М030</v>
      </c>
    </row>
    <row r="915" spans="1:8" ht="38.25">
      <c r="A915" s="316" t="s">
        <v>1327</v>
      </c>
      <c r="B915" s="317" t="s">
        <v>207</v>
      </c>
      <c r="C915" s="317" t="s">
        <v>1078</v>
      </c>
      <c r="D915" s="317" t="s">
        <v>1848</v>
      </c>
      <c r="E915" s="317" t="s">
        <v>1328</v>
      </c>
      <c r="F915" s="312">
        <v>37200</v>
      </c>
      <c r="G915" s="312">
        <v>37200</v>
      </c>
      <c r="H915" s="123" t="str">
        <f t="shared" si="14"/>
        <v>0703011004М030600</v>
      </c>
    </row>
    <row r="916" spans="1:8">
      <c r="A916" s="316" t="s">
        <v>1198</v>
      </c>
      <c r="B916" s="317" t="s">
        <v>207</v>
      </c>
      <c r="C916" s="317" t="s">
        <v>1078</v>
      </c>
      <c r="D916" s="317" t="s">
        <v>1848</v>
      </c>
      <c r="E916" s="317" t="s">
        <v>1199</v>
      </c>
      <c r="F916" s="312">
        <v>37200</v>
      </c>
      <c r="G916" s="312">
        <v>37200</v>
      </c>
      <c r="H916" s="123" t="str">
        <f t="shared" si="14"/>
        <v>0703011004М030610</v>
      </c>
    </row>
    <row r="917" spans="1:8" ht="76.5">
      <c r="A917" s="316" t="s">
        <v>347</v>
      </c>
      <c r="B917" s="317" t="s">
        <v>207</v>
      </c>
      <c r="C917" s="317" t="s">
        <v>1078</v>
      </c>
      <c r="D917" s="317" t="s">
        <v>1848</v>
      </c>
      <c r="E917" s="317" t="s">
        <v>348</v>
      </c>
      <c r="F917" s="312">
        <v>37200</v>
      </c>
      <c r="G917" s="312">
        <v>37200</v>
      </c>
      <c r="H917" s="123" t="str">
        <f t="shared" si="14"/>
        <v>0703011004М030611</v>
      </c>
    </row>
    <row r="918" spans="1:8" ht="127.5">
      <c r="A918" s="316" t="s">
        <v>966</v>
      </c>
      <c r="B918" s="317" t="s">
        <v>207</v>
      </c>
      <c r="C918" s="317" t="s">
        <v>1078</v>
      </c>
      <c r="D918" s="317" t="s">
        <v>967</v>
      </c>
      <c r="E918" s="317" t="s">
        <v>1173</v>
      </c>
      <c r="F918" s="312">
        <v>274800</v>
      </c>
      <c r="G918" s="312">
        <v>274800</v>
      </c>
      <c r="H918" s="123" t="str">
        <f t="shared" si="14"/>
        <v>0703011004Э030</v>
      </c>
    </row>
    <row r="919" spans="1:8" ht="38.25">
      <c r="A919" s="316" t="s">
        <v>1327</v>
      </c>
      <c r="B919" s="317" t="s">
        <v>207</v>
      </c>
      <c r="C919" s="317" t="s">
        <v>1078</v>
      </c>
      <c r="D919" s="317" t="s">
        <v>967</v>
      </c>
      <c r="E919" s="317" t="s">
        <v>1328</v>
      </c>
      <c r="F919" s="312">
        <v>274800</v>
      </c>
      <c r="G919" s="312">
        <v>274800</v>
      </c>
      <c r="H919" s="123" t="str">
        <f t="shared" si="14"/>
        <v>0703011004Э030600</v>
      </c>
    </row>
    <row r="920" spans="1:8">
      <c r="A920" s="316" t="s">
        <v>1198</v>
      </c>
      <c r="B920" s="317" t="s">
        <v>207</v>
      </c>
      <c r="C920" s="317" t="s">
        <v>1078</v>
      </c>
      <c r="D920" s="317" t="s">
        <v>967</v>
      </c>
      <c r="E920" s="317" t="s">
        <v>1199</v>
      </c>
      <c r="F920" s="312">
        <v>274800</v>
      </c>
      <c r="G920" s="312">
        <v>274800</v>
      </c>
      <c r="H920" s="123" t="str">
        <f t="shared" si="14"/>
        <v>0703011004Э030610</v>
      </c>
    </row>
    <row r="921" spans="1:8" ht="76.5">
      <c r="A921" s="316" t="s">
        <v>347</v>
      </c>
      <c r="B921" s="317" t="s">
        <v>207</v>
      </c>
      <c r="C921" s="317" t="s">
        <v>1078</v>
      </c>
      <c r="D921" s="317" t="s">
        <v>967</v>
      </c>
      <c r="E921" s="317" t="s">
        <v>348</v>
      </c>
      <c r="F921" s="312">
        <v>274800</v>
      </c>
      <c r="G921" s="312">
        <v>274800</v>
      </c>
      <c r="H921" s="123" t="str">
        <f t="shared" si="14"/>
        <v>0703011004Э030611</v>
      </c>
    </row>
    <row r="922" spans="1:8" ht="331.5">
      <c r="A922" s="316" t="s">
        <v>1357</v>
      </c>
      <c r="B922" s="317" t="s">
        <v>207</v>
      </c>
      <c r="C922" s="317" t="s">
        <v>1078</v>
      </c>
      <c r="D922" s="317" t="s">
        <v>747</v>
      </c>
      <c r="E922" s="317" t="s">
        <v>1173</v>
      </c>
      <c r="F922" s="312">
        <v>15807800</v>
      </c>
      <c r="G922" s="312">
        <v>15807800</v>
      </c>
      <c r="H922" s="123" t="str">
        <f t="shared" si="14"/>
        <v>07030110075640</v>
      </c>
    </row>
    <row r="923" spans="1:8" ht="76.5">
      <c r="A923" s="316" t="s">
        <v>1318</v>
      </c>
      <c r="B923" s="317" t="s">
        <v>207</v>
      </c>
      <c r="C923" s="317" t="s">
        <v>1078</v>
      </c>
      <c r="D923" s="317" t="s">
        <v>747</v>
      </c>
      <c r="E923" s="317" t="s">
        <v>273</v>
      </c>
      <c r="F923" s="312">
        <v>5499648</v>
      </c>
      <c r="G923" s="312">
        <v>5499648</v>
      </c>
      <c r="H923" s="123" t="str">
        <f t="shared" si="14"/>
        <v>07030110075640100</v>
      </c>
    </row>
    <row r="924" spans="1:8" ht="25.5">
      <c r="A924" s="316" t="s">
        <v>1190</v>
      </c>
      <c r="B924" s="317" t="s">
        <v>207</v>
      </c>
      <c r="C924" s="317" t="s">
        <v>1078</v>
      </c>
      <c r="D924" s="317" t="s">
        <v>747</v>
      </c>
      <c r="E924" s="317" t="s">
        <v>133</v>
      </c>
      <c r="F924" s="312">
        <v>5499648</v>
      </c>
      <c r="G924" s="312">
        <v>5499648</v>
      </c>
      <c r="H924" s="123" t="str">
        <f t="shared" si="14"/>
        <v>07030110075640110</v>
      </c>
    </row>
    <row r="925" spans="1:8">
      <c r="A925" s="316" t="s">
        <v>1138</v>
      </c>
      <c r="B925" s="317" t="s">
        <v>207</v>
      </c>
      <c r="C925" s="317" t="s">
        <v>1078</v>
      </c>
      <c r="D925" s="317" t="s">
        <v>747</v>
      </c>
      <c r="E925" s="317" t="s">
        <v>342</v>
      </c>
      <c r="F925" s="312">
        <v>4224000</v>
      </c>
      <c r="G925" s="312">
        <v>4224000</v>
      </c>
      <c r="H925" s="123" t="str">
        <f t="shared" si="14"/>
        <v>07030110075640111</v>
      </c>
    </row>
    <row r="926" spans="1:8" ht="51">
      <c r="A926" s="316" t="s">
        <v>1139</v>
      </c>
      <c r="B926" s="317" t="s">
        <v>207</v>
      </c>
      <c r="C926" s="317" t="s">
        <v>1078</v>
      </c>
      <c r="D926" s="317" t="s">
        <v>747</v>
      </c>
      <c r="E926" s="317" t="s">
        <v>1056</v>
      </c>
      <c r="F926" s="312">
        <v>1275648</v>
      </c>
      <c r="G926" s="312">
        <v>1275648</v>
      </c>
      <c r="H926" s="123" t="str">
        <f t="shared" si="14"/>
        <v>07030110075640119</v>
      </c>
    </row>
    <row r="927" spans="1:8" ht="38.25">
      <c r="A927" s="316" t="s">
        <v>1319</v>
      </c>
      <c r="B927" s="317" t="s">
        <v>207</v>
      </c>
      <c r="C927" s="317" t="s">
        <v>1078</v>
      </c>
      <c r="D927" s="317" t="s">
        <v>747</v>
      </c>
      <c r="E927" s="317" t="s">
        <v>1320</v>
      </c>
      <c r="F927" s="312">
        <v>10308152</v>
      </c>
      <c r="G927" s="312">
        <v>10308152</v>
      </c>
      <c r="H927" s="123" t="str">
        <f t="shared" si="14"/>
        <v>07030110075640200</v>
      </c>
    </row>
    <row r="928" spans="1:8" ht="38.25">
      <c r="A928" s="316" t="s">
        <v>1196</v>
      </c>
      <c r="B928" s="317" t="s">
        <v>207</v>
      </c>
      <c r="C928" s="317" t="s">
        <v>1078</v>
      </c>
      <c r="D928" s="317" t="s">
        <v>747</v>
      </c>
      <c r="E928" s="317" t="s">
        <v>1197</v>
      </c>
      <c r="F928" s="312">
        <v>10308152</v>
      </c>
      <c r="G928" s="312">
        <v>10308152</v>
      </c>
      <c r="H928" s="123" t="str">
        <f t="shared" si="14"/>
        <v>07030110075640240</v>
      </c>
    </row>
    <row r="929" spans="1:8">
      <c r="A929" s="316" t="s">
        <v>1223</v>
      </c>
      <c r="B929" s="317" t="s">
        <v>207</v>
      </c>
      <c r="C929" s="317" t="s">
        <v>1078</v>
      </c>
      <c r="D929" s="317" t="s">
        <v>747</v>
      </c>
      <c r="E929" s="317" t="s">
        <v>329</v>
      </c>
      <c r="F929" s="312">
        <v>10308152</v>
      </c>
      <c r="G929" s="312">
        <v>10308152</v>
      </c>
      <c r="H929" s="123" t="str">
        <f t="shared" si="14"/>
        <v>07030110075640244</v>
      </c>
    </row>
    <row r="930" spans="1:8" ht="38.25">
      <c r="A930" s="316" t="s">
        <v>483</v>
      </c>
      <c r="B930" s="317" t="s">
        <v>207</v>
      </c>
      <c r="C930" s="317" t="s">
        <v>1078</v>
      </c>
      <c r="D930" s="317" t="s">
        <v>993</v>
      </c>
      <c r="E930" s="317" t="s">
        <v>1173</v>
      </c>
      <c r="F930" s="312">
        <v>80000</v>
      </c>
      <c r="G930" s="312">
        <v>80000</v>
      </c>
      <c r="H930" s="123" t="str">
        <f t="shared" si="14"/>
        <v>07030900000000</v>
      </c>
    </row>
    <row r="931" spans="1:8" ht="25.5">
      <c r="A931" s="316" t="s">
        <v>488</v>
      </c>
      <c r="B931" s="317" t="s">
        <v>207</v>
      </c>
      <c r="C931" s="317" t="s">
        <v>1078</v>
      </c>
      <c r="D931" s="317" t="s">
        <v>996</v>
      </c>
      <c r="E931" s="317" t="s">
        <v>1173</v>
      </c>
      <c r="F931" s="312">
        <v>80000</v>
      </c>
      <c r="G931" s="312">
        <v>80000</v>
      </c>
      <c r="H931" s="123" t="str">
        <f t="shared" si="14"/>
        <v>07030930000000</v>
      </c>
    </row>
    <row r="932" spans="1:8" ht="76.5">
      <c r="A932" s="316" t="s">
        <v>407</v>
      </c>
      <c r="B932" s="317" t="s">
        <v>207</v>
      </c>
      <c r="C932" s="317" t="s">
        <v>1078</v>
      </c>
      <c r="D932" s="317" t="s">
        <v>1732</v>
      </c>
      <c r="E932" s="317" t="s">
        <v>1173</v>
      </c>
      <c r="F932" s="312">
        <v>80000</v>
      </c>
      <c r="G932" s="312">
        <v>80000</v>
      </c>
      <c r="H932" s="123" t="str">
        <f t="shared" si="14"/>
        <v>07030930080000</v>
      </c>
    </row>
    <row r="933" spans="1:8" ht="38.25">
      <c r="A933" s="316" t="s">
        <v>1327</v>
      </c>
      <c r="B933" s="317" t="s">
        <v>207</v>
      </c>
      <c r="C933" s="317" t="s">
        <v>1078</v>
      </c>
      <c r="D933" s="317" t="s">
        <v>1732</v>
      </c>
      <c r="E933" s="317" t="s">
        <v>1328</v>
      </c>
      <c r="F933" s="312">
        <v>80000</v>
      </c>
      <c r="G933" s="312">
        <v>80000</v>
      </c>
      <c r="H933" s="123" t="str">
        <f t="shared" si="14"/>
        <v>07030930080000600</v>
      </c>
    </row>
    <row r="934" spans="1:8">
      <c r="A934" s="316" t="s">
        <v>1198</v>
      </c>
      <c r="B934" s="317" t="s">
        <v>207</v>
      </c>
      <c r="C934" s="317" t="s">
        <v>1078</v>
      </c>
      <c r="D934" s="317" t="s">
        <v>1732</v>
      </c>
      <c r="E934" s="317" t="s">
        <v>1199</v>
      </c>
      <c r="F934" s="312">
        <v>80000</v>
      </c>
      <c r="G934" s="312">
        <v>80000</v>
      </c>
      <c r="H934" s="123" t="str">
        <f t="shared" ref="H934:H997" si="15">CONCATENATE(C934,,D934,E934)</f>
        <v>07030930080000610</v>
      </c>
    </row>
    <row r="935" spans="1:8" ht="25.5">
      <c r="A935" s="316" t="s">
        <v>366</v>
      </c>
      <c r="B935" s="317" t="s">
        <v>207</v>
      </c>
      <c r="C935" s="317" t="s">
        <v>1078</v>
      </c>
      <c r="D935" s="317" t="s">
        <v>1732</v>
      </c>
      <c r="E935" s="317" t="s">
        <v>367</v>
      </c>
      <c r="F935" s="312">
        <v>80000</v>
      </c>
      <c r="G935" s="312">
        <v>80000</v>
      </c>
      <c r="H935" s="123" t="str">
        <f t="shared" si="15"/>
        <v>07030930080000612</v>
      </c>
    </row>
    <row r="936" spans="1:8">
      <c r="A936" s="316" t="s">
        <v>1075</v>
      </c>
      <c r="B936" s="317" t="s">
        <v>207</v>
      </c>
      <c r="C936" s="317" t="s">
        <v>365</v>
      </c>
      <c r="D936" s="317" t="s">
        <v>1173</v>
      </c>
      <c r="E936" s="317" t="s">
        <v>1173</v>
      </c>
      <c r="F936" s="312">
        <v>17204000</v>
      </c>
      <c r="G936" s="312">
        <v>17204000</v>
      </c>
      <c r="H936" s="123" t="str">
        <f t="shared" si="15"/>
        <v>0707</v>
      </c>
    </row>
    <row r="937" spans="1:8" ht="25.5">
      <c r="A937" s="316" t="s">
        <v>442</v>
      </c>
      <c r="B937" s="317" t="s">
        <v>207</v>
      </c>
      <c r="C937" s="317" t="s">
        <v>365</v>
      </c>
      <c r="D937" s="317" t="s">
        <v>971</v>
      </c>
      <c r="E937" s="317" t="s">
        <v>1173</v>
      </c>
      <c r="F937" s="312">
        <v>17204000</v>
      </c>
      <c r="G937" s="312">
        <v>17204000</v>
      </c>
      <c r="H937" s="123" t="str">
        <f t="shared" si="15"/>
        <v>07070100000000</v>
      </c>
    </row>
    <row r="938" spans="1:8" ht="38.25">
      <c r="A938" s="316" t="s">
        <v>443</v>
      </c>
      <c r="B938" s="317" t="s">
        <v>207</v>
      </c>
      <c r="C938" s="317" t="s">
        <v>365</v>
      </c>
      <c r="D938" s="317" t="s">
        <v>972</v>
      </c>
      <c r="E938" s="317" t="s">
        <v>1173</v>
      </c>
      <c r="F938" s="312">
        <v>16930910</v>
      </c>
      <c r="G938" s="312">
        <v>16930910</v>
      </c>
      <c r="H938" s="123" t="str">
        <f t="shared" si="15"/>
        <v>07070110000000</v>
      </c>
    </row>
    <row r="939" spans="1:8" ht="140.25">
      <c r="A939" s="316" t="s">
        <v>417</v>
      </c>
      <c r="B939" s="317" t="s">
        <v>207</v>
      </c>
      <c r="C939" s="317" t="s">
        <v>365</v>
      </c>
      <c r="D939" s="317" t="s">
        <v>767</v>
      </c>
      <c r="E939" s="317" t="s">
        <v>1173</v>
      </c>
      <c r="F939" s="312">
        <v>1008000</v>
      </c>
      <c r="G939" s="312">
        <v>1008000</v>
      </c>
      <c r="H939" s="123" t="str">
        <f t="shared" si="15"/>
        <v>07070110040040</v>
      </c>
    </row>
    <row r="940" spans="1:8" ht="38.25">
      <c r="A940" s="316" t="s">
        <v>1327</v>
      </c>
      <c r="B940" s="317" t="s">
        <v>207</v>
      </c>
      <c r="C940" s="317" t="s">
        <v>365</v>
      </c>
      <c r="D940" s="317" t="s">
        <v>767</v>
      </c>
      <c r="E940" s="317" t="s">
        <v>1328</v>
      </c>
      <c r="F940" s="312">
        <v>1008000</v>
      </c>
      <c r="G940" s="312">
        <v>1008000</v>
      </c>
      <c r="H940" s="123" t="str">
        <f t="shared" si="15"/>
        <v>07070110040040600</v>
      </c>
    </row>
    <row r="941" spans="1:8">
      <c r="A941" s="316" t="s">
        <v>1198</v>
      </c>
      <c r="B941" s="317" t="s">
        <v>207</v>
      </c>
      <c r="C941" s="317" t="s">
        <v>365</v>
      </c>
      <c r="D941" s="317" t="s">
        <v>767</v>
      </c>
      <c r="E941" s="317" t="s">
        <v>1199</v>
      </c>
      <c r="F941" s="312">
        <v>1008000</v>
      </c>
      <c r="G941" s="312">
        <v>1008000</v>
      </c>
      <c r="H941" s="123" t="str">
        <f t="shared" si="15"/>
        <v>07070110040040610</v>
      </c>
    </row>
    <row r="942" spans="1:8" ht="76.5">
      <c r="A942" s="316" t="s">
        <v>347</v>
      </c>
      <c r="B942" s="317" t="s">
        <v>207</v>
      </c>
      <c r="C942" s="317" t="s">
        <v>365</v>
      </c>
      <c r="D942" s="317" t="s">
        <v>767</v>
      </c>
      <c r="E942" s="317" t="s">
        <v>348</v>
      </c>
      <c r="F942" s="312">
        <v>1008000</v>
      </c>
      <c r="G942" s="312">
        <v>1008000</v>
      </c>
      <c r="H942" s="123" t="str">
        <f t="shared" si="15"/>
        <v>07070110040040611</v>
      </c>
    </row>
    <row r="943" spans="1:8" ht="191.25">
      <c r="A943" s="316" t="s">
        <v>418</v>
      </c>
      <c r="B943" s="317" t="s">
        <v>207</v>
      </c>
      <c r="C943" s="317" t="s">
        <v>365</v>
      </c>
      <c r="D943" s="317" t="s">
        <v>768</v>
      </c>
      <c r="E943" s="317" t="s">
        <v>1173</v>
      </c>
      <c r="F943" s="312">
        <v>850000</v>
      </c>
      <c r="G943" s="312">
        <v>850000</v>
      </c>
      <c r="H943" s="123" t="str">
        <f t="shared" si="15"/>
        <v>07070110041040</v>
      </c>
    </row>
    <row r="944" spans="1:8" ht="38.25">
      <c r="A944" s="316" t="s">
        <v>1327</v>
      </c>
      <c r="B944" s="317" t="s">
        <v>207</v>
      </c>
      <c r="C944" s="317" t="s">
        <v>365</v>
      </c>
      <c r="D944" s="317" t="s">
        <v>768</v>
      </c>
      <c r="E944" s="317" t="s">
        <v>1328</v>
      </c>
      <c r="F944" s="312">
        <v>850000</v>
      </c>
      <c r="G944" s="312">
        <v>850000</v>
      </c>
      <c r="H944" s="123" t="str">
        <f t="shared" si="15"/>
        <v>07070110041040600</v>
      </c>
    </row>
    <row r="945" spans="1:8">
      <c r="A945" s="316" t="s">
        <v>1198</v>
      </c>
      <c r="B945" s="317" t="s">
        <v>207</v>
      </c>
      <c r="C945" s="317" t="s">
        <v>365</v>
      </c>
      <c r="D945" s="317" t="s">
        <v>768</v>
      </c>
      <c r="E945" s="317" t="s">
        <v>1199</v>
      </c>
      <c r="F945" s="312">
        <v>850000</v>
      </c>
      <c r="G945" s="312">
        <v>850000</v>
      </c>
      <c r="H945" s="123" t="str">
        <f t="shared" si="15"/>
        <v>07070110041040610</v>
      </c>
    </row>
    <row r="946" spans="1:8" ht="76.5">
      <c r="A946" s="316" t="s">
        <v>347</v>
      </c>
      <c r="B946" s="317" t="s">
        <v>207</v>
      </c>
      <c r="C946" s="317" t="s">
        <v>365</v>
      </c>
      <c r="D946" s="317" t="s">
        <v>768</v>
      </c>
      <c r="E946" s="317" t="s">
        <v>348</v>
      </c>
      <c r="F946" s="312">
        <v>850000</v>
      </c>
      <c r="G946" s="312">
        <v>850000</v>
      </c>
      <c r="H946" s="123" t="str">
        <f t="shared" si="15"/>
        <v>07070110041040611</v>
      </c>
    </row>
    <row r="947" spans="1:8" ht="153">
      <c r="A947" s="316" t="s">
        <v>769</v>
      </c>
      <c r="B947" s="317" t="s">
        <v>207</v>
      </c>
      <c r="C947" s="317" t="s">
        <v>365</v>
      </c>
      <c r="D947" s="317" t="s">
        <v>770</v>
      </c>
      <c r="E947" s="317" t="s">
        <v>1173</v>
      </c>
      <c r="F947" s="312">
        <v>93000</v>
      </c>
      <c r="G947" s="312">
        <v>93000</v>
      </c>
      <c r="H947" s="123" t="str">
        <f t="shared" si="15"/>
        <v>07070110047040</v>
      </c>
    </row>
    <row r="948" spans="1:8" ht="38.25">
      <c r="A948" s="316" t="s">
        <v>1327</v>
      </c>
      <c r="B948" s="317" t="s">
        <v>207</v>
      </c>
      <c r="C948" s="317" t="s">
        <v>365</v>
      </c>
      <c r="D948" s="317" t="s">
        <v>770</v>
      </c>
      <c r="E948" s="317" t="s">
        <v>1328</v>
      </c>
      <c r="F948" s="312">
        <v>93000</v>
      </c>
      <c r="G948" s="312">
        <v>93000</v>
      </c>
      <c r="H948" s="123" t="str">
        <f t="shared" si="15"/>
        <v>07070110047040600</v>
      </c>
    </row>
    <row r="949" spans="1:8">
      <c r="A949" s="316" t="s">
        <v>1198</v>
      </c>
      <c r="B949" s="317" t="s">
        <v>207</v>
      </c>
      <c r="C949" s="317" t="s">
        <v>365</v>
      </c>
      <c r="D949" s="317" t="s">
        <v>770</v>
      </c>
      <c r="E949" s="317" t="s">
        <v>1199</v>
      </c>
      <c r="F949" s="312">
        <v>93000</v>
      </c>
      <c r="G949" s="312">
        <v>93000</v>
      </c>
      <c r="H949" s="123" t="str">
        <f t="shared" si="15"/>
        <v>07070110047040610</v>
      </c>
    </row>
    <row r="950" spans="1:8" ht="25.5">
      <c r="A950" s="316" t="s">
        <v>366</v>
      </c>
      <c r="B950" s="317" t="s">
        <v>207</v>
      </c>
      <c r="C950" s="317" t="s">
        <v>365</v>
      </c>
      <c r="D950" s="317" t="s">
        <v>770</v>
      </c>
      <c r="E950" s="317" t="s">
        <v>367</v>
      </c>
      <c r="F950" s="312">
        <v>93000</v>
      </c>
      <c r="G950" s="312">
        <v>93000</v>
      </c>
      <c r="H950" s="123" t="str">
        <f t="shared" si="15"/>
        <v>07070110047040612</v>
      </c>
    </row>
    <row r="951" spans="1:8" ht="153">
      <c r="A951" s="316" t="s">
        <v>1149</v>
      </c>
      <c r="B951" s="317" t="s">
        <v>207</v>
      </c>
      <c r="C951" s="317" t="s">
        <v>365</v>
      </c>
      <c r="D951" s="317" t="s">
        <v>1150</v>
      </c>
      <c r="E951" s="317" t="s">
        <v>1173</v>
      </c>
      <c r="F951" s="312">
        <v>59000</v>
      </c>
      <c r="G951" s="312">
        <v>59000</v>
      </c>
      <c r="H951" s="123" t="str">
        <f t="shared" si="15"/>
        <v>0707011004Г040</v>
      </c>
    </row>
    <row r="952" spans="1:8" ht="38.25">
      <c r="A952" s="316" t="s">
        <v>1327</v>
      </c>
      <c r="B952" s="317" t="s">
        <v>207</v>
      </c>
      <c r="C952" s="317" t="s">
        <v>365</v>
      </c>
      <c r="D952" s="317" t="s">
        <v>1150</v>
      </c>
      <c r="E952" s="317" t="s">
        <v>1328</v>
      </c>
      <c r="F952" s="312">
        <v>59000</v>
      </c>
      <c r="G952" s="312">
        <v>59000</v>
      </c>
      <c r="H952" s="123" t="str">
        <f t="shared" si="15"/>
        <v>0707011004Г040600</v>
      </c>
    </row>
    <row r="953" spans="1:8">
      <c r="A953" s="316" t="s">
        <v>1198</v>
      </c>
      <c r="B953" s="317" t="s">
        <v>207</v>
      </c>
      <c r="C953" s="317" t="s">
        <v>365</v>
      </c>
      <c r="D953" s="317" t="s">
        <v>1150</v>
      </c>
      <c r="E953" s="317" t="s">
        <v>1199</v>
      </c>
      <c r="F953" s="312">
        <v>59000</v>
      </c>
      <c r="G953" s="312">
        <v>59000</v>
      </c>
      <c r="H953" s="123" t="str">
        <f t="shared" si="15"/>
        <v>0707011004Г040610</v>
      </c>
    </row>
    <row r="954" spans="1:8" ht="76.5">
      <c r="A954" s="316" t="s">
        <v>347</v>
      </c>
      <c r="B954" s="317" t="s">
        <v>207</v>
      </c>
      <c r="C954" s="317" t="s">
        <v>365</v>
      </c>
      <c r="D954" s="317" t="s">
        <v>1150</v>
      </c>
      <c r="E954" s="317" t="s">
        <v>348</v>
      </c>
      <c r="F954" s="312">
        <v>59000</v>
      </c>
      <c r="G954" s="312">
        <v>59000</v>
      </c>
      <c r="H954" s="123" t="str">
        <f t="shared" si="15"/>
        <v>0707011004Г040611</v>
      </c>
    </row>
    <row r="955" spans="1:8" ht="165.75">
      <c r="A955" s="316" t="s">
        <v>1849</v>
      </c>
      <c r="B955" s="317" t="s">
        <v>207</v>
      </c>
      <c r="C955" s="317" t="s">
        <v>365</v>
      </c>
      <c r="D955" s="317" t="s">
        <v>1850</v>
      </c>
      <c r="E955" s="317" t="s">
        <v>1173</v>
      </c>
      <c r="F955" s="312">
        <v>47750</v>
      </c>
      <c r="G955" s="312">
        <v>47750</v>
      </c>
      <c r="H955" s="123" t="str">
        <f t="shared" si="15"/>
        <v>0707011004М040</v>
      </c>
    </row>
    <row r="956" spans="1:8" ht="38.25">
      <c r="A956" s="316" t="s">
        <v>1327</v>
      </c>
      <c r="B956" s="317" t="s">
        <v>207</v>
      </c>
      <c r="C956" s="317" t="s">
        <v>365</v>
      </c>
      <c r="D956" s="317" t="s">
        <v>1850</v>
      </c>
      <c r="E956" s="317" t="s">
        <v>1328</v>
      </c>
      <c r="F956" s="312">
        <v>47750</v>
      </c>
      <c r="G956" s="312">
        <v>47750</v>
      </c>
      <c r="H956" s="123" t="str">
        <f t="shared" si="15"/>
        <v>0707011004М040600</v>
      </c>
    </row>
    <row r="957" spans="1:8">
      <c r="A957" s="316" t="s">
        <v>1198</v>
      </c>
      <c r="B957" s="317" t="s">
        <v>207</v>
      </c>
      <c r="C957" s="317" t="s">
        <v>365</v>
      </c>
      <c r="D957" s="317" t="s">
        <v>1850</v>
      </c>
      <c r="E957" s="317" t="s">
        <v>1199</v>
      </c>
      <c r="F957" s="312">
        <v>47750</v>
      </c>
      <c r="G957" s="312">
        <v>47750</v>
      </c>
      <c r="H957" s="123" t="str">
        <f t="shared" si="15"/>
        <v>0707011004М040610</v>
      </c>
    </row>
    <row r="958" spans="1:8" ht="76.5">
      <c r="A958" s="316" t="s">
        <v>347</v>
      </c>
      <c r="B958" s="317" t="s">
        <v>207</v>
      </c>
      <c r="C958" s="317" t="s">
        <v>365</v>
      </c>
      <c r="D958" s="317" t="s">
        <v>1850</v>
      </c>
      <c r="E958" s="317" t="s">
        <v>348</v>
      </c>
      <c r="F958" s="312">
        <v>47750</v>
      </c>
      <c r="G958" s="312">
        <v>47750</v>
      </c>
      <c r="H958" s="123" t="str">
        <f t="shared" si="15"/>
        <v>0707011004М040611</v>
      </c>
    </row>
    <row r="959" spans="1:8" ht="140.25">
      <c r="A959" s="316" t="s">
        <v>1151</v>
      </c>
      <c r="B959" s="317" t="s">
        <v>207</v>
      </c>
      <c r="C959" s="317" t="s">
        <v>365</v>
      </c>
      <c r="D959" s="317" t="s">
        <v>1152</v>
      </c>
      <c r="E959" s="317" t="s">
        <v>1173</v>
      </c>
      <c r="F959" s="312">
        <v>153000</v>
      </c>
      <c r="G959" s="312">
        <v>153000</v>
      </c>
      <c r="H959" s="123" t="str">
        <f t="shared" si="15"/>
        <v>0707011004Э040</v>
      </c>
    </row>
    <row r="960" spans="1:8" ht="38.25">
      <c r="A960" s="316" t="s">
        <v>1327</v>
      </c>
      <c r="B960" s="317" t="s">
        <v>207</v>
      </c>
      <c r="C960" s="317" t="s">
        <v>365</v>
      </c>
      <c r="D960" s="317" t="s">
        <v>1152</v>
      </c>
      <c r="E960" s="317" t="s">
        <v>1328</v>
      </c>
      <c r="F960" s="312">
        <v>153000</v>
      </c>
      <c r="G960" s="312">
        <v>153000</v>
      </c>
      <c r="H960" s="123" t="str">
        <f t="shared" si="15"/>
        <v>0707011004Э040600</v>
      </c>
    </row>
    <row r="961" spans="1:8">
      <c r="A961" s="316" t="s">
        <v>1198</v>
      </c>
      <c r="B961" s="317" t="s">
        <v>207</v>
      </c>
      <c r="C961" s="317" t="s">
        <v>365</v>
      </c>
      <c r="D961" s="317" t="s">
        <v>1152</v>
      </c>
      <c r="E961" s="317" t="s">
        <v>1199</v>
      </c>
      <c r="F961" s="312">
        <v>153000</v>
      </c>
      <c r="G961" s="312">
        <v>153000</v>
      </c>
      <c r="H961" s="123" t="str">
        <f t="shared" si="15"/>
        <v>0707011004Э040610</v>
      </c>
    </row>
    <row r="962" spans="1:8" ht="76.5">
      <c r="A962" s="316" t="s">
        <v>347</v>
      </c>
      <c r="B962" s="317" t="s">
        <v>207</v>
      </c>
      <c r="C962" s="317" t="s">
        <v>365</v>
      </c>
      <c r="D962" s="317" t="s">
        <v>1152</v>
      </c>
      <c r="E962" s="317" t="s">
        <v>348</v>
      </c>
      <c r="F962" s="312">
        <v>153000</v>
      </c>
      <c r="G962" s="312">
        <v>153000</v>
      </c>
      <c r="H962" s="123" t="str">
        <f t="shared" si="15"/>
        <v>0707011004Э040611</v>
      </c>
    </row>
    <row r="963" spans="1:8" ht="89.25">
      <c r="A963" s="316" t="s">
        <v>1188</v>
      </c>
      <c r="B963" s="317" t="s">
        <v>207</v>
      </c>
      <c r="C963" s="317" t="s">
        <v>365</v>
      </c>
      <c r="D963" s="317" t="s">
        <v>1189</v>
      </c>
      <c r="E963" s="317" t="s">
        <v>1173</v>
      </c>
      <c r="F963" s="312">
        <v>11850300</v>
      </c>
      <c r="G963" s="312">
        <v>11850300</v>
      </c>
      <c r="H963" s="123" t="str">
        <f t="shared" si="15"/>
        <v>07070110076490</v>
      </c>
    </row>
    <row r="964" spans="1:8" ht="38.25">
      <c r="A964" s="316" t="s">
        <v>1319</v>
      </c>
      <c r="B964" s="317" t="s">
        <v>207</v>
      </c>
      <c r="C964" s="317" t="s">
        <v>365</v>
      </c>
      <c r="D964" s="317" t="s">
        <v>1189</v>
      </c>
      <c r="E964" s="317" t="s">
        <v>1320</v>
      </c>
      <c r="F964" s="312">
        <v>7633100</v>
      </c>
      <c r="G964" s="312">
        <v>7633100</v>
      </c>
      <c r="H964" s="123" t="str">
        <f t="shared" si="15"/>
        <v>07070110076490200</v>
      </c>
    </row>
    <row r="965" spans="1:8" ht="38.25">
      <c r="A965" s="316" t="s">
        <v>1196</v>
      </c>
      <c r="B965" s="317" t="s">
        <v>207</v>
      </c>
      <c r="C965" s="317" t="s">
        <v>365</v>
      </c>
      <c r="D965" s="317" t="s">
        <v>1189</v>
      </c>
      <c r="E965" s="317" t="s">
        <v>1197</v>
      </c>
      <c r="F965" s="312">
        <v>7633100</v>
      </c>
      <c r="G965" s="312">
        <v>7633100</v>
      </c>
      <c r="H965" s="123" t="str">
        <f t="shared" si="15"/>
        <v>07070110076490240</v>
      </c>
    </row>
    <row r="966" spans="1:8">
      <c r="A966" s="316" t="s">
        <v>1223</v>
      </c>
      <c r="B966" s="317" t="s">
        <v>207</v>
      </c>
      <c r="C966" s="317" t="s">
        <v>365</v>
      </c>
      <c r="D966" s="317" t="s">
        <v>1189</v>
      </c>
      <c r="E966" s="317" t="s">
        <v>329</v>
      </c>
      <c r="F966" s="312">
        <v>7633100</v>
      </c>
      <c r="G966" s="312">
        <v>7633100</v>
      </c>
      <c r="H966" s="123" t="str">
        <f t="shared" si="15"/>
        <v>07070110076490244</v>
      </c>
    </row>
    <row r="967" spans="1:8" ht="38.25">
      <c r="A967" s="316" t="s">
        <v>1327</v>
      </c>
      <c r="B967" s="317" t="s">
        <v>207</v>
      </c>
      <c r="C967" s="317" t="s">
        <v>365</v>
      </c>
      <c r="D967" s="317" t="s">
        <v>1189</v>
      </c>
      <c r="E967" s="317" t="s">
        <v>1328</v>
      </c>
      <c r="F967" s="312">
        <v>4217200</v>
      </c>
      <c r="G967" s="312">
        <v>4217200</v>
      </c>
      <c r="H967" s="123" t="str">
        <f t="shared" si="15"/>
        <v>07070110076490600</v>
      </c>
    </row>
    <row r="968" spans="1:8">
      <c r="A968" s="316" t="s">
        <v>1198</v>
      </c>
      <c r="B968" s="317" t="s">
        <v>207</v>
      </c>
      <c r="C968" s="317" t="s">
        <v>365</v>
      </c>
      <c r="D968" s="317" t="s">
        <v>1189</v>
      </c>
      <c r="E968" s="317" t="s">
        <v>1199</v>
      </c>
      <c r="F968" s="312">
        <v>4217200</v>
      </c>
      <c r="G968" s="312">
        <v>4217200</v>
      </c>
      <c r="H968" s="123" t="str">
        <f t="shared" si="15"/>
        <v>07070110076490610</v>
      </c>
    </row>
    <row r="969" spans="1:8" ht="76.5">
      <c r="A969" s="316" t="s">
        <v>347</v>
      </c>
      <c r="B969" s="317" t="s">
        <v>207</v>
      </c>
      <c r="C969" s="317" t="s">
        <v>365</v>
      </c>
      <c r="D969" s="317" t="s">
        <v>1189</v>
      </c>
      <c r="E969" s="317" t="s">
        <v>348</v>
      </c>
      <c r="F969" s="312">
        <v>4217200</v>
      </c>
      <c r="G969" s="312">
        <v>4217200</v>
      </c>
      <c r="H969" s="123" t="str">
        <f t="shared" si="15"/>
        <v>07070110076490611</v>
      </c>
    </row>
    <row r="970" spans="1:8" ht="89.25">
      <c r="A970" s="316" t="s">
        <v>393</v>
      </c>
      <c r="B970" s="317" t="s">
        <v>207</v>
      </c>
      <c r="C970" s="317" t="s">
        <v>365</v>
      </c>
      <c r="D970" s="317" t="s">
        <v>776</v>
      </c>
      <c r="E970" s="317" t="s">
        <v>1173</v>
      </c>
      <c r="F970" s="312">
        <v>2511500</v>
      </c>
      <c r="G970" s="312">
        <v>2511500</v>
      </c>
      <c r="H970" s="123" t="str">
        <f t="shared" si="15"/>
        <v>07070110080030</v>
      </c>
    </row>
    <row r="971" spans="1:8" ht="38.25">
      <c r="A971" s="316" t="s">
        <v>1319</v>
      </c>
      <c r="B971" s="317" t="s">
        <v>207</v>
      </c>
      <c r="C971" s="317" t="s">
        <v>365</v>
      </c>
      <c r="D971" s="317" t="s">
        <v>776</v>
      </c>
      <c r="E971" s="317" t="s">
        <v>1320</v>
      </c>
      <c r="F971" s="312">
        <v>1246500</v>
      </c>
      <c r="G971" s="312">
        <v>1246500</v>
      </c>
      <c r="H971" s="123" t="str">
        <f t="shared" si="15"/>
        <v>07070110080030200</v>
      </c>
    </row>
    <row r="972" spans="1:8" ht="38.25">
      <c r="A972" s="316" t="s">
        <v>1196</v>
      </c>
      <c r="B972" s="317" t="s">
        <v>207</v>
      </c>
      <c r="C972" s="317" t="s">
        <v>365</v>
      </c>
      <c r="D972" s="317" t="s">
        <v>776</v>
      </c>
      <c r="E972" s="317" t="s">
        <v>1197</v>
      </c>
      <c r="F972" s="312">
        <v>1246500</v>
      </c>
      <c r="G972" s="312">
        <v>1246500</v>
      </c>
      <c r="H972" s="123" t="str">
        <f t="shared" si="15"/>
        <v>07070110080030240</v>
      </c>
    </row>
    <row r="973" spans="1:8">
      <c r="A973" s="316" t="s">
        <v>1223</v>
      </c>
      <c r="B973" s="317" t="s">
        <v>207</v>
      </c>
      <c r="C973" s="317" t="s">
        <v>365</v>
      </c>
      <c r="D973" s="317" t="s">
        <v>776</v>
      </c>
      <c r="E973" s="317" t="s">
        <v>329</v>
      </c>
      <c r="F973" s="312">
        <v>1246500</v>
      </c>
      <c r="G973" s="312">
        <v>1246500</v>
      </c>
      <c r="H973" s="123" t="str">
        <f t="shared" si="15"/>
        <v>07070110080030244</v>
      </c>
    </row>
    <row r="974" spans="1:8" ht="38.25">
      <c r="A974" s="316" t="s">
        <v>1327</v>
      </c>
      <c r="B974" s="317" t="s">
        <v>207</v>
      </c>
      <c r="C974" s="317" t="s">
        <v>365</v>
      </c>
      <c r="D974" s="317" t="s">
        <v>776</v>
      </c>
      <c r="E974" s="317" t="s">
        <v>1328</v>
      </c>
      <c r="F974" s="312">
        <v>1265000</v>
      </c>
      <c r="G974" s="312">
        <v>1265000</v>
      </c>
      <c r="H974" s="123" t="str">
        <f t="shared" si="15"/>
        <v>07070110080030600</v>
      </c>
    </row>
    <row r="975" spans="1:8">
      <c r="A975" s="316" t="s">
        <v>1198</v>
      </c>
      <c r="B975" s="317" t="s">
        <v>207</v>
      </c>
      <c r="C975" s="317" t="s">
        <v>365</v>
      </c>
      <c r="D975" s="317" t="s">
        <v>776</v>
      </c>
      <c r="E975" s="317" t="s">
        <v>1199</v>
      </c>
      <c r="F975" s="312">
        <v>1265000</v>
      </c>
      <c r="G975" s="312">
        <v>1265000</v>
      </c>
      <c r="H975" s="123" t="str">
        <f t="shared" si="15"/>
        <v>07070110080030610</v>
      </c>
    </row>
    <row r="976" spans="1:8" ht="76.5">
      <c r="A976" s="316" t="s">
        <v>347</v>
      </c>
      <c r="B976" s="317" t="s">
        <v>207</v>
      </c>
      <c r="C976" s="317" t="s">
        <v>365</v>
      </c>
      <c r="D976" s="317" t="s">
        <v>776</v>
      </c>
      <c r="E976" s="317" t="s">
        <v>348</v>
      </c>
      <c r="F976" s="312">
        <v>1265000</v>
      </c>
      <c r="G976" s="312">
        <v>1265000</v>
      </c>
      <c r="H976" s="123" t="str">
        <f t="shared" si="15"/>
        <v>07070110080030611</v>
      </c>
    </row>
    <row r="977" spans="1:8" ht="229.5">
      <c r="A977" s="316" t="s">
        <v>1478</v>
      </c>
      <c r="B977" s="317" t="s">
        <v>207</v>
      </c>
      <c r="C977" s="317" t="s">
        <v>365</v>
      </c>
      <c r="D977" s="317" t="s">
        <v>774</v>
      </c>
      <c r="E977" s="317" t="s">
        <v>1173</v>
      </c>
      <c r="F977" s="312">
        <v>358360</v>
      </c>
      <c r="G977" s="312">
        <v>358360</v>
      </c>
      <c r="H977" s="123" t="str">
        <f t="shared" si="15"/>
        <v>070701100S3970</v>
      </c>
    </row>
    <row r="978" spans="1:8" ht="38.25">
      <c r="A978" s="316" t="s">
        <v>1327</v>
      </c>
      <c r="B978" s="317" t="s">
        <v>207</v>
      </c>
      <c r="C978" s="317" t="s">
        <v>365</v>
      </c>
      <c r="D978" s="317" t="s">
        <v>774</v>
      </c>
      <c r="E978" s="317" t="s">
        <v>1328</v>
      </c>
      <c r="F978" s="312">
        <v>358360</v>
      </c>
      <c r="G978" s="312">
        <v>358360</v>
      </c>
      <c r="H978" s="123" t="str">
        <f t="shared" si="15"/>
        <v>070701100S3970600</v>
      </c>
    </row>
    <row r="979" spans="1:8">
      <c r="A979" s="316" t="s">
        <v>1198</v>
      </c>
      <c r="B979" s="317" t="s">
        <v>207</v>
      </c>
      <c r="C979" s="317" t="s">
        <v>365</v>
      </c>
      <c r="D979" s="317" t="s">
        <v>774</v>
      </c>
      <c r="E979" s="317" t="s">
        <v>1199</v>
      </c>
      <c r="F979" s="312">
        <v>358360</v>
      </c>
      <c r="G979" s="312">
        <v>358360</v>
      </c>
      <c r="H979" s="123" t="str">
        <f t="shared" si="15"/>
        <v>070701100S3970610</v>
      </c>
    </row>
    <row r="980" spans="1:8" ht="76.5">
      <c r="A980" s="316" t="s">
        <v>347</v>
      </c>
      <c r="B980" s="317" t="s">
        <v>207</v>
      </c>
      <c r="C980" s="317" t="s">
        <v>365</v>
      </c>
      <c r="D980" s="317" t="s">
        <v>774</v>
      </c>
      <c r="E980" s="317" t="s">
        <v>348</v>
      </c>
      <c r="F980" s="312">
        <v>358360</v>
      </c>
      <c r="G980" s="312">
        <v>358360</v>
      </c>
      <c r="H980" s="123" t="str">
        <f t="shared" si="15"/>
        <v>070701100S3970611</v>
      </c>
    </row>
    <row r="981" spans="1:8" ht="38.25">
      <c r="A981" s="316" t="s">
        <v>615</v>
      </c>
      <c r="B981" s="317" t="s">
        <v>207</v>
      </c>
      <c r="C981" s="317" t="s">
        <v>365</v>
      </c>
      <c r="D981" s="317" t="s">
        <v>973</v>
      </c>
      <c r="E981" s="317" t="s">
        <v>1173</v>
      </c>
      <c r="F981" s="312">
        <v>273090</v>
      </c>
      <c r="G981" s="312">
        <v>273090</v>
      </c>
      <c r="H981" s="123" t="str">
        <f t="shared" si="15"/>
        <v>07070130000000</v>
      </c>
    </row>
    <row r="982" spans="1:8" ht="89.25">
      <c r="A982" s="316" t="s">
        <v>607</v>
      </c>
      <c r="B982" s="317" t="s">
        <v>207</v>
      </c>
      <c r="C982" s="317" t="s">
        <v>365</v>
      </c>
      <c r="D982" s="317" t="s">
        <v>1733</v>
      </c>
      <c r="E982" s="317" t="s">
        <v>1173</v>
      </c>
      <c r="F982" s="312">
        <v>73090</v>
      </c>
      <c r="G982" s="312">
        <v>73090</v>
      </c>
      <c r="H982" s="123" t="str">
        <f t="shared" si="15"/>
        <v>07070130080030</v>
      </c>
    </row>
    <row r="983" spans="1:8" ht="76.5">
      <c r="A983" s="316" t="s">
        <v>1318</v>
      </c>
      <c r="B983" s="317" t="s">
        <v>207</v>
      </c>
      <c r="C983" s="317" t="s">
        <v>365</v>
      </c>
      <c r="D983" s="317" t="s">
        <v>1733</v>
      </c>
      <c r="E983" s="317" t="s">
        <v>273</v>
      </c>
      <c r="F983" s="312">
        <v>69590</v>
      </c>
      <c r="G983" s="312">
        <v>69590</v>
      </c>
      <c r="H983" s="123" t="str">
        <f t="shared" si="15"/>
        <v>07070130080030100</v>
      </c>
    </row>
    <row r="984" spans="1:8" ht="25.5">
      <c r="A984" s="316" t="s">
        <v>1190</v>
      </c>
      <c r="B984" s="317" t="s">
        <v>207</v>
      </c>
      <c r="C984" s="317" t="s">
        <v>365</v>
      </c>
      <c r="D984" s="317" t="s">
        <v>1733</v>
      </c>
      <c r="E984" s="317" t="s">
        <v>133</v>
      </c>
      <c r="F984" s="312">
        <v>69590</v>
      </c>
      <c r="G984" s="312">
        <v>69590</v>
      </c>
      <c r="H984" s="123" t="str">
        <f t="shared" si="15"/>
        <v>07070130080030110</v>
      </c>
    </row>
    <row r="985" spans="1:8">
      <c r="A985" s="316" t="s">
        <v>1138</v>
      </c>
      <c r="B985" s="317" t="s">
        <v>207</v>
      </c>
      <c r="C985" s="317" t="s">
        <v>365</v>
      </c>
      <c r="D985" s="317" t="s">
        <v>1733</v>
      </c>
      <c r="E985" s="317" t="s">
        <v>342</v>
      </c>
      <c r="F985" s="312">
        <v>53449</v>
      </c>
      <c r="G985" s="312">
        <v>53449</v>
      </c>
      <c r="H985" s="123" t="str">
        <f t="shared" si="15"/>
        <v>07070130080030111</v>
      </c>
    </row>
    <row r="986" spans="1:8" ht="51">
      <c r="A986" s="316" t="s">
        <v>1139</v>
      </c>
      <c r="B986" s="317" t="s">
        <v>207</v>
      </c>
      <c r="C986" s="317" t="s">
        <v>365</v>
      </c>
      <c r="D986" s="317" t="s">
        <v>1733</v>
      </c>
      <c r="E986" s="317" t="s">
        <v>1056</v>
      </c>
      <c r="F986" s="312">
        <v>16141</v>
      </c>
      <c r="G986" s="312">
        <v>16141</v>
      </c>
      <c r="H986" s="123" t="str">
        <f t="shared" si="15"/>
        <v>07070130080030119</v>
      </c>
    </row>
    <row r="987" spans="1:8" ht="38.25">
      <c r="A987" s="316" t="s">
        <v>1319</v>
      </c>
      <c r="B987" s="317" t="s">
        <v>207</v>
      </c>
      <c r="C987" s="317" t="s">
        <v>365</v>
      </c>
      <c r="D987" s="317" t="s">
        <v>1733</v>
      </c>
      <c r="E987" s="317" t="s">
        <v>1320</v>
      </c>
      <c r="F987" s="312">
        <v>3500</v>
      </c>
      <c r="G987" s="312">
        <v>3500</v>
      </c>
      <c r="H987" s="123" t="str">
        <f t="shared" si="15"/>
        <v>07070130080030200</v>
      </c>
    </row>
    <row r="988" spans="1:8" ht="38.25">
      <c r="A988" s="316" t="s">
        <v>1196</v>
      </c>
      <c r="B988" s="317" t="s">
        <v>207</v>
      </c>
      <c r="C988" s="317" t="s">
        <v>365</v>
      </c>
      <c r="D988" s="317" t="s">
        <v>1733</v>
      </c>
      <c r="E988" s="317" t="s">
        <v>1197</v>
      </c>
      <c r="F988" s="312">
        <v>3500</v>
      </c>
      <c r="G988" s="312">
        <v>3500</v>
      </c>
      <c r="H988" s="123" t="str">
        <f t="shared" si="15"/>
        <v>07070130080030240</v>
      </c>
    </row>
    <row r="989" spans="1:8">
      <c r="A989" s="316" t="s">
        <v>1223</v>
      </c>
      <c r="B989" s="317" t="s">
        <v>207</v>
      </c>
      <c r="C989" s="317" t="s">
        <v>365</v>
      </c>
      <c r="D989" s="317" t="s">
        <v>1733</v>
      </c>
      <c r="E989" s="317" t="s">
        <v>329</v>
      </c>
      <c r="F989" s="312">
        <v>3500</v>
      </c>
      <c r="G989" s="312">
        <v>3500</v>
      </c>
      <c r="H989" s="123" t="str">
        <f t="shared" si="15"/>
        <v>07070130080030244</v>
      </c>
    </row>
    <row r="990" spans="1:8" ht="114.75">
      <c r="A990" s="316" t="s">
        <v>608</v>
      </c>
      <c r="B990" s="317" t="s">
        <v>207</v>
      </c>
      <c r="C990" s="317" t="s">
        <v>365</v>
      </c>
      <c r="D990" s="317" t="s">
        <v>1734</v>
      </c>
      <c r="E990" s="317" t="s">
        <v>1173</v>
      </c>
      <c r="F990" s="312">
        <v>200000</v>
      </c>
      <c r="G990" s="312">
        <v>200000</v>
      </c>
      <c r="H990" s="123" t="str">
        <f t="shared" si="15"/>
        <v>0707013008П030</v>
      </c>
    </row>
    <row r="991" spans="1:8" ht="38.25">
      <c r="A991" s="316" t="s">
        <v>1319</v>
      </c>
      <c r="B991" s="317" t="s">
        <v>207</v>
      </c>
      <c r="C991" s="317" t="s">
        <v>365</v>
      </c>
      <c r="D991" s="317" t="s">
        <v>1734</v>
      </c>
      <c r="E991" s="317" t="s">
        <v>1320</v>
      </c>
      <c r="F991" s="312">
        <v>200000</v>
      </c>
      <c r="G991" s="312">
        <v>200000</v>
      </c>
      <c r="H991" s="123" t="str">
        <f t="shared" si="15"/>
        <v>0707013008П030200</v>
      </c>
    </row>
    <row r="992" spans="1:8" ht="38.25">
      <c r="A992" s="316" t="s">
        <v>1196</v>
      </c>
      <c r="B992" s="317" t="s">
        <v>207</v>
      </c>
      <c r="C992" s="317" t="s">
        <v>365</v>
      </c>
      <c r="D992" s="317" t="s">
        <v>1734</v>
      </c>
      <c r="E992" s="317" t="s">
        <v>1197</v>
      </c>
      <c r="F992" s="312">
        <v>200000</v>
      </c>
      <c r="G992" s="312">
        <v>200000</v>
      </c>
      <c r="H992" s="123" t="str">
        <f t="shared" si="15"/>
        <v>0707013008П030240</v>
      </c>
    </row>
    <row r="993" spans="1:8">
      <c r="A993" s="316" t="s">
        <v>1223</v>
      </c>
      <c r="B993" s="317" t="s">
        <v>207</v>
      </c>
      <c r="C993" s="317" t="s">
        <v>365</v>
      </c>
      <c r="D993" s="317" t="s">
        <v>1734</v>
      </c>
      <c r="E993" s="317" t="s">
        <v>329</v>
      </c>
      <c r="F993" s="312">
        <v>200000</v>
      </c>
      <c r="G993" s="312">
        <v>200000</v>
      </c>
      <c r="H993" s="123" t="str">
        <f t="shared" si="15"/>
        <v>0707013008П030244</v>
      </c>
    </row>
    <row r="994" spans="1:8">
      <c r="A994" s="316" t="s">
        <v>4</v>
      </c>
      <c r="B994" s="317" t="s">
        <v>207</v>
      </c>
      <c r="C994" s="317" t="s">
        <v>420</v>
      </c>
      <c r="D994" s="317" t="s">
        <v>1173</v>
      </c>
      <c r="E994" s="317" t="s">
        <v>1173</v>
      </c>
      <c r="F994" s="312">
        <v>84027190</v>
      </c>
      <c r="G994" s="312">
        <v>84027190</v>
      </c>
      <c r="H994" s="123" t="str">
        <f t="shared" si="15"/>
        <v>0709</v>
      </c>
    </row>
    <row r="995" spans="1:8" ht="25.5">
      <c r="A995" s="316" t="s">
        <v>442</v>
      </c>
      <c r="B995" s="317" t="s">
        <v>207</v>
      </c>
      <c r="C995" s="317" t="s">
        <v>420</v>
      </c>
      <c r="D995" s="317" t="s">
        <v>971</v>
      </c>
      <c r="E995" s="317" t="s">
        <v>1173</v>
      </c>
      <c r="F995" s="312">
        <v>84027190</v>
      </c>
      <c r="G995" s="312">
        <v>84027190</v>
      </c>
      <c r="H995" s="123" t="str">
        <f t="shared" si="15"/>
        <v>07090100000000</v>
      </c>
    </row>
    <row r="996" spans="1:8" ht="38.25">
      <c r="A996" s="316" t="s">
        <v>443</v>
      </c>
      <c r="B996" s="317" t="s">
        <v>207</v>
      </c>
      <c r="C996" s="317" t="s">
        <v>420</v>
      </c>
      <c r="D996" s="317" t="s">
        <v>972</v>
      </c>
      <c r="E996" s="317" t="s">
        <v>1173</v>
      </c>
      <c r="F996" s="312">
        <v>220000</v>
      </c>
      <c r="G996" s="312">
        <v>220000</v>
      </c>
      <c r="H996" s="123" t="str">
        <f t="shared" si="15"/>
        <v>07090110000000</v>
      </c>
    </row>
    <row r="997" spans="1:8" ht="89.25">
      <c r="A997" s="316" t="s">
        <v>411</v>
      </c>
      <c r="B997" s="317" t="s">
        <v>207</v>
      </c>
      <c r="C997" s="317" t="s">
        <v>420</v>
      </c>
      <c r="D997" s="317" t="s">
        <v>761</v>
      </c>
      <c r="E997" s="317" t="s">
        <v>1173</v>
      </c>
      <c r="F997" s="312">
        <v>220000</v>
      </c>
      <c r="G997" s="312">
        <v>220000</v>
      </c>
      <c r="H997" s="123" t="str">
        <f t="shared" si="15"/>
        <v>07090110080020</v>
      </c>
    </row>
    <row r="998" spans="1:8" ht="38.25">
      <c r="A998" s="316" t="s">
        <v>1319</v>
      </c>
      <c r="B998" s="317" t="s">
        <v>207</v>
      </c>
      <c r="C998" s="317" t="s">
        <v>420</v>
      </c>
      <c r="D998" s="317" t="s">
        <v>761</v>
      </c>
      <c r="E998" s="317" t="s">
        <v>1320</v>
      </c>
      <c r="F998" s="312">
        <v>220000</v>
      </c>
      <c r="G998" s="312">
        <v>220000</v>
      </c>
      <c r="H998" s="123" t="str">
        <f t="shared" ref="H998:H1061" si="16">CONCATENATE(C998,,D998,E998)</f>
        <v>07090110080020200</v>
      </c>
    </row>
    <row r="999" spans="1:8" ht="38.25">
      <c r="A999" s="316" t="s">
        <v>1196</v>
      </c>
      <c r="B999" s="317" t="s">
        <v>207</v>
      </c>
      <c r="C999" s="317" t="s">
        <v>420</v>
      </c>
      <c r="D999" s="317" t="s">
        <v>761</v>
      </c>
      <c r="E999" s="317" t="s">
        <v>1197</v>
      </c>
      <c r="F999" s="312">
        <v>220000</v>
      </c>
      <c r="G999" s="312">
        <v>220000</v>
      </c>
      <c r="H999" s="123" t="str">
        <f t="shared" si="16"/>
        <v>07090110080020240</v>
      </c>
    </row>
    <row r="1000" spans="1:8">
      <c r="A1000" s="316" t="s">
        <v>1223</v>
      </c>
      <c r="B1000" s="317" t="s">
        <v>207</v>
      </c>
      <c r="C1000" s="317" t="s">
        <v>420</v>
      </c>
      <c r="D1000" s="317" t="s">
        <v>761</v>
      </c>
      <c r="E1000" s="317" t="s">
        <v>329</v>
      </c>
      <c r="F1000" s="312">
        <v>220000</v>
      </c>
      <c r="G1000" s="312">
        <v>220000</v>
      </c>
      <c r="H1000" s="123" t="str">
        <f t="shared" si="16"/>
        <v>07090110080020244</v>
      </c>
    </row>
    <row r="1001" spans="1:8" ht="51">
      <c r="A1001" s="316" t="s">
        <v>445</v>
      </c>
      <c r="B1001" s="317" t="s">
        <v>207</v>
      </c>
      <c r="C1001" s="317" t="s">
        <v>420</v>
      </c>
      <c r="D1001" s="317" t="s">
        <v>1134</v>
      </c>
      <c r="E1001" s="317" t="s">
        <v>1173</v>
      </c>
      <c r="F1001" s="312">
        <v>6099700</v>
      </c>
      <c r="G1001" s="312">
        <v>6099700</v>
      </c>
      <c r="H1001" s="123" t="str">
        <f t="shared" si="16"/>
        <v>07090120000000</v>
      </c>
    </row>
    <row r="1002" spans="1:8" ht="127.5">
      <c r="A1002" s="316" t="s">
        <v>421</v>
      </c>
      <c r="B1002" s="317" t="s">
        <v>207</v>
      </c>
      <c r="C1002" s="317" t="s">
        <v>420</v>
      </c>
      <c r="D1002" s="317" t="s">
        <v>1126</v>
      </c>
      <c r="E1002" s="317" t="s">
        <v>1173</v>
      </c>
      <c r="F1002" s="312">
        <v>6099700</v>
      </c>
      <c r="G1002" s="312">
        <v>6099700</v>
      </c>
      <c r="H1002" s="123" t="str">
        <f t="shared" si="16"/>
        <v>07090120075520</v>
      </c>
    </row>
    <row r="1003" spans="1:8" ht="76.5">
      <c r="A1003" s="316" t="s">
        <v>1318</v>
      </c>
      <c r="B1003" s="317" t="s">
        <v>207</v>
      </c>
      <c r="C1003" s="317" t="s">
        <v>420</v>
      </c>
      <c r="D1003" s="317" t="s">
        <v>1126</v>
      </c>
      <c r="E1003" s="317" t="s">
        <v>273</v>
      </c>
      <c r="F1003" s="312">
        <v>4992580</v>
      </c>
      <c r="G1003" s="312">
        <v>4992580</v>
      </c>
      <c r="H1003" s="123" t="str">
        <f t="shared" si="16"/>
        <v>07090120075520100</v>
      </c>
    </row>
    <row r="1004" spans="1:8" ht="38.25">
      <c r="A1004" s="316" t="s">
        <v>1203</v>
      </c>
      <c r="B1004" s="317" t="s">
        <v>207</v>
      </c>
      <c r="C1004" s="317" t="s">
        <v>420</v>
      </c>
      <c r="D1004" s="317" t="s">
        <v>1126</v>
      </c>
      <c r="E1004" s="317" t="s">
        <v>28</v>
      </c>
      <c r="F1004" s="312">
        <v>4992580</v>
      </c>
      <c r="G1004" s="312">
        <v>4992580</v>
      </c>
      <c r="H1004" s="123" t="str">
        <f t="shared" si="16"/>
        <v>07090120075520120</v>
      </c>
    </row>
    <row r="1005" spans="1:8" ht="25.5">
      <c r="A1005" s="316" t="s">
        <v>953</v>
      </c>
      <c r="B1005" s="317" t="s">
        <v>207</v>
      </c>
      <c r="C1005" s="317" t="s">
        <v>420</v>
      </c>
      <c r="D1005" s="317" t="s">
        <v>1126</v>
      </c>
      <c r="E1005" s="317" t="s">
        <v>324</v>
      </c>
      <c r="F1005" s="312">
        <v>3609480</v>
      </c>
      <c r="G1005" s="312">
        <v>3609480</v>
      </c>
      <c r="H1005" s="123" t="str">
        <f t="shared" si="16"/>
        <v>07090120075520121</v>
      </c>
    </row>
    <row r="1006" spans="1:8" ht="51">
      <c r="A1006" s="316" t="s">
        <v>325</v>
      </c>
      <c r="B1006" s="317" t="s">
        <v>207</v>
      </c>
      <c r="C1006" s="317" t="s">
        <v>420</v>
      </c>
      <c r="D1006" s="317" t="s">
        <v>1126</v>
      </c>
      <c r="E1006" s="317" t="s">
        <v>326</v>
      </c>
      <c r="F1006" s="312">
        <v>305520</v>
      </c>
      <c r="G1006" s="312">
        <v>305520</v>
      </c>
      <c r="H1006" s="123" t="str">
        <f t="shared" si="16"/>
        <v>07090120075520122</v>
      </c>
    </row>
    <row r="1007" spans="1:8" ht="63.75">
      <c r="A1007" s="316" t="s">
        <v>1054</v>
      </c>
      <c r="B1007" s="317" t="s">
        <v>207</v>
      </c>
      <c r="C1007" s="317" t="s">
        <v>420</v>
      </c>
      <c r="D1007" s="317" t="s">
        <v>1126</v>
      </c>
      <c r="E1007" s="317" t="s">
        <v>1055</v>
      </c>
      <c r="F1007" s="312">
        <v>1077580</v>
      </c>
      <c r="G1007" s="312">
        <v>1077580</v>
      </c>
      <c r="H1007" s="123" t="str">
        <f t="shared" si="16"/>
        <v>07090120075520129</v>
      </c>
    </row>
    <row r="1008" spans="1:8" ht="38.25">
      <c r="A1008" s="316" t="s">
        <v>1319</v>
      </c>
      <c r="B1008" s="317" t="s">
        <v>207</v>
      </c>
      <c r="C1008" s="317" t="s">
        <v>420</v>
      </c>
      <c r="D1008" s="317" t="s">
        <v>1126</v>
      </c>
      <c r="E1008" s="317" t="s">
        <v>1320</v>
      </c>
      <c r="F1008" s="312">
        <v>1107120</v>
      </c>
      <c r="G1008" s="312">
        <v>1107120</v>
      </c>
      <c r="H1008" s="123" t="str">
        <f t="shared" si="16"/>
        <v>07090120075520200</v>
      </c>
    </row>
    <row r="1009" spans="1:8" ht="38.25">
      <c r="A1009" s="316" t="s">
        <v>1196</v>
      </c>
      <c r="B1009" s="317" t="s">
        <v>207</v>
      </c>
      <c r="C1009" s="317" t="s">
        <v>420</v>
      </c>
      <c r="D1009" s="317" t="s">
        <v>1126</v>
      </c>
      <c r="E1009" s="317" t="s">
        <v>1197</v>
      </c>
      <c r="F1009" s="312">
        <v>1107120</v>
      </c>
      <c r="G1009" s="312">
        <v>1107120</v>
      </c>
      <c r="H1009" s="123" t="str">
        <f t="shared" si="16"/>
        <v>07090120075520240</v>
      </c>
    </row>
    <row r="1010" spans="1:8">
      <c r="A1010" s="316" t="s">
        <v>1223</v>
      </c>
      <c r="B1010" s="317" t="s">
        <v>207</v>
      </c>
      <c r="C1010" s="317" t="s">
        <v>420</v>
      </c>
      <c r="D1010" s="317" t="s">
        <v>1126</v>
      </c>
      <c r="E1010" s="317" t="s">
        <v>329</v>
      </c>
      <c r="F1010" s="312">
        <v>1107120</v>
      </c>
      <c r="G1010" s="312">
        <v>1107120</v>
      </c>
      <c r="H1010" s="123" t="str">
        <f t="shared" si="16"/>
        <v>07090120075520244</v>
      </c>
    </row>
    <row r="1011" spans="1:8" ht="38.25">
      <c r="A1011" s="316" t="s">
        <v>615</v>
      </c>
      <c r="B1011" s="317" t="s">
        <v>207</v>
      </c>
      <c r="C1011" s="317" t="s">
        <v>420</v>
      </c>
      <c r="D1011" s="317" t="s">
        <v>973</v>
      </c>
      <c r="E1011" s="317" t="s">
        <v>1173</v>
      </c>
      <c r="F1011" s="312">
        <v>77707490</v>
      </c>
      <c r="G1011" s="312">
        <v>77707490</v>
      </c>
      <c r="H1011" s="123" t="str">
        <f t="shared" si="16"/>
        <v>07090130000000</v>
      </c>
    </row>
    <row r="1012" spans="1:8" ht="102">
      <c r="A1012" s="316" t="s">
        <v>609</v>
      </c>
      <c r="B1012" s="317" t="s">
        <v>207</v>
      </c>
      <c r="C1012" s="317" t="s">
        <v>420</v>
      </c>
      <c r="D1012" s="317" t="s">
        <v>1127</v>
      </c>
      <c r="E1012" s="317" t="s">
        <v>1173</v>
      </c>
      <c r="F1012" s="312">
        <v>49733700</v>
      </c>
      <c r="G1012" s="312">
        <v>49733700</v>
      </c>
      <c r="H1012" s="123" t="str">
        <f t="shared" si="16"/>
        <v>07090130040000</v>
      </c>
    </row>
    <row r="1013" spans="1:8" ht="76.5">
      <c r="A1013" s="316" t="s">
        <v>1318</v>
      </c>
      <c r="B1013" s="317" t="s">
        <v>207</v>
      </c>
      <c r="C1013" s="317" t="s">
        <v>420</v>
      </c>
      <c r="D1013" s="317" t="s">
        <v>1127</v>
      </c>
      <c r="E1013" s="317" t="s">
        <v>273</v>
      </c>
      <c r="F1013" s="312">
        <v>46966700</v>
      </c>
      <c r="G1013" s="312">
        <v>46966700</v>
      </c>
      <c r="H1013" s="123" t="str">
        <f t="shared" si="16"/>
        <v>07090130040000100</v>
      </c>
    </row>
    <row r="1014" spans="1:8" ht="25.5">
      <c r="A1014" s="316" t="s">
        <v>1190</v>
      </c>
      <c r="B1014" s="317" t="s">
        <v>207</v>
      </c>
      <c r="C1014" s="317" t="s">
        <v>420</v>
      </c>
      <c r="D1014" s="317" t="s">
        <v>1127</v>
      </c>
      <c r="E1014" s="317" t="s">
        <v>133</v>
      </c>
      <c r="F1014" s="312">
        <v>46966700</v>
      </c>
      <c r="G1014" s="312">
        <v>46966700</v>
      </c>
      <c r="H1014" s="123" t="str">
        <f t="shared" si="16"/>
        <v>07090130040000110</v>
      </c>
    </row>
    <row r="1015" spans="1:8">
      <c r="A1015" s="316" t="s">
        <v>1138</v>
      </c>
      <c r="B1015" s="317" t="s">
        <v>207</v>
      </c>
      <c r="C1015" s="317" t="s">
        <v>420</v>
      </c>
      <c r="D1015" s="317" t="s">
        <v>1127</v>
      </c>
      <c r="E1015" s="317" t="s">
        <v>342</v>
      </c>
      <c r="F1015" s="312">
        <v>36000000</v>
      </c>
      <c r="G1015" s="312">
        <v>36000000</v>
      </c>
      <c r="H1015" s="123" t="str">
        <f t="shared" si="16"/>
        <v>07090130040000111</v>
      </c>
    </row>
    <row r="1016" spans="1:8" ht="25.5">
      <c r="A1016" s="316" t="s">
        <v>1147</v>
      </c>
      <c r="B1016" s="317" t="s">
        <v>207</v>
      </c>
      <c r="C1016" s="317" t="s">
        <v>420</v>
      </c>
      <c r="D1016" s="317" t="s">
        <v>1127</v>
      </c>
      <c r="E1016" s="317" t="s">
        <v>391</v>
      </c>
      <c r="F1016" s="312">
        <v>140000</v>
      </c>
      <c r="G1016" s="312">
        <v>140000</v>
      </c>
      <c r="H1016" s="123" t="str">
        <f t="shared" si="16"/>
        <v>07090130040000112</v>
      </c>
    </row>
    <row r="1017" spans="1:8" ht="51">
      <c r="A1017" s="316" t="s">
        <v>1139</v>
      </c>
      <c r="B1017" s="317" t="s">
        <v>207</v>
      </c>
      <c r="C1017" s="317" t="s">
        <v>420</v>
      </c>
      <c r="D1017" s="317" t="s">
        <v>1127</v>
      </c>
      <c r="E1017" s="317" t="s">
        <v>1056</v>
      </c>
      <c r="F1017" s="312">
        <v>10826700</v>
      </c>
      <c r="G1017" s="312">
        <v>10826700</v>
      </c>
      <c r="H1017" s="123" t="str">
        <f t="shared" si="16"/>
        <v>07090130040000119</v>
      </c>
    </row>
    <row r="1018" spans="1:8" ht="38.25">
      <c r="A1018" s="316" t="s">
        <v>1319</v>
      </c>
      <c r="B1018" s="317" t="s">
        <v>207</v>
      </c>
      <c r="C1018" s="317" t="s">
        <v>420</v>
      </c>
      <c r="D1018" s="317" t="s">
        <v>1127</v>
      </c>
      <c r="E1018" s="317" t="s">
        <v>1320</v>
      </c>
      <c r="F1018" s="312">
        <v>2767000</v>
      </c>
      <c r="G1018" s="312">
        <v>2767000</v>
      </c>
      <c r="H1018" s="123" t="str">
        <f t="shared" si="16"/>
        <v>07090130040000200</v>
      </c>
    </row>
    <row r="1019" spans="1:8" ht="38.25">
      <c r="A1019" s="316" t="s">
        <v>1196</v>
      </c>
      <c r="B1019" s="317" t="s">
        <v>207</v>
      </c>
      <c r="C1019" s="317" t="s">
        <v>420</v>
      </c>
      <c r="D1019" s="317" t="s">
        <v>1127</v>
      </c>
      <c r="E1019" s="317" t="s">
        <v>1197</v>
      </c>
      <c r="F1019" s="312">
        <v>2767000</v>
      </c>
      <c r="G1019" s="312">
        <v>2767000</v>
      </c>
      <c r="H1019" s="123" t="str">
        <f t="shared" si="16"/>
        <v>07090130040000240</v>
      </c>
    </row>
    <row r="1020" spans="1:8">
      <c r="A1020" s="316" t="s">
        <v>1223</v>
      </c>
      <c r="B1020" s="317" t="s">
        <v>207</v>
      </c>
      <c r="C1020" s="317" t="s">
        <v>420</v>
      </c>
      <c r="D1020" s="317" t="s">
        <v>1127</v>
      </c>
      <c r="E1020" s="317" t="s">
        <v>329</v>
      </c>
      <c r="F1020" s="312">
        <v>2767000</v>
      </c>
      <c r="G1020" s="312">
        <v>2767000</v>
      </c>
      <c r="H1020" s="123" t="str">
        <f t="shared" si="16"/>
        <v>07090130040000244</v>
      </c>
    </row>
    <row r="1021" spans="1:8" ht="102">
      <c r="A1021" s="316" t="s">
        <v>610</v>
      </c>
      <c r="B1021" s="317" t="s">
        <v>207</v>
      </c>
      <c r="C1021" s="317" t="s">
        <v>420</v>
      </c>
      <c r="D1021" s="317" t="s">
        <v>1133</v>
      </c>
      <c r="E1021" s="317" t="s">
        <v>1173</v>
      </c>
      <c r="F1021" s="312">
        <v>1148640</v>
      </c>
      <c r="G1021" s="312">
        <v>1148640</v>
      </c>
      <c r="H1021" s="123" t="str">
        <f t="shared" si="16"/>
        <v>07090130040050</v>
      </c>
    </row>
    <row r="1022" spans="1:8" ht="76.5">
      <c r="A1022" s="316" t="s">
        <v>1318</v>
      </c>
      <c r="B1022" s="317" t="s">
        <v>207</v>
      </c>
      <c r="C1022" s="317" t="s">
        <v>420</v>
      </c>
      <c r="D1022" s="317" t="s">
        <v>1133</v>
      </c>
      <c r="E1022" s="317" t="s">
        <v>273</v>
      </c>
      <c r="F1022" s="312">
        <v>1148640</v>
      </c>
      <c r="G1022" s="312">
        <v>1148640</v>
      </c>
      <c r="H1022" s="123" t="str">
        <f t="shared" si="16"/>
        <v>07090130040050100</v>
      </c>
    </row>
    <row r="1023" spans="1:8" ht="25.5">
      <c r="A1023" s="316" t="s">
        <v>1190</v>
      </c>
      <c r="B1023" s="317" t="s">
        <v>207</v>
      </c>
      <c r="C1023" s="317" t="s">
        <v>420</v>
      </c>
      <c r="D1023" s="317" t="s">
        <v>1133</v>
      </c>
      <c r="E1023" s="317" t="s">
        <v>133</v>
      </c>
      <c r="F1023" s="312">
        <v>1148640</v>
      </c>
      <c r="G1023" s="312">
        <v>1148640</v>
      </c>
      <c r="H1023" s="123" t="str">
        <f t="shared" si="16"/>
        <v>07090130040050110</v>
      </c>
    </row>
    <row r="1024" spans="1:8">
      <c r="A1024" s="316" t="s">
        <v>1138</v>
      </c>
      <c r="B1024" s="317" t="s">
        <v>207</v>
      </c>
      <c r="C1024" s="317" t="s">
        <v>420</v>
      </c>
      <c r="D1024" s="317" t="s">
        <v>1133</v>
      </c>
      <c r="E1024" s="317" t="s">
        <v>342</v>
      </c>
      <c r="F1024" s="312">
        <v>882000</v>
      </c>
      <c r="G1024" s="312">
        <v>882000</v>
      </c>
      <c r="H1024" s="123" t="str">
        <f t="shared" si="16"/>
        <v>07090130040050111</v>
      </c>
    </row>
    <row r="1025" spans="1:8" ht="51">
      <c r="A1025" s="316" t="s">
        <v>1139</v>
      </c>
      <c r="B1025" s="317" t="s">
        <v>207</v>
      </c>
      <c r="C1025" s="317" t="s">
        <v>420</v>
      </c>
      <c r="D1025" s="317" t="s">
        <v>1133</v>
      </c>
      <c r="E1025" s="317" t="s">
        <v>1056</v>
      </c>
      <c r="F1025" s="312">
        <v>266640</v>
      </c>
      <c r="G1025" s="312">
        <v>266640</v>
      </c>
      <c r="H1025" s="123" t="str">
        <f t="shared" si="16"/>
        <v>07090130040050119</v>
      </c>
    </row>
    <row r="1026" spans="1:8" ht="140.25">
      <c r="A1026" s="316" t="s">
        <v>622</v>
      </c>
      <c r="B1026" s="317" t="s">
        <v>207</v>
      </c>
      <c r="C1026" s="317" t="s">
        <v>420</v>
      </c>
      <c r="D1026" s="317" t="s">
        <v>1128</v>
      </c>
      <c r="E1026" s="317" t="s">
        <v>1173</v>
      </c>
      <c r="F1026" s="312">
        <v>15754200</v>
      </c>
      <c r="G1026" s="312">
        <v>15754200</v>
      </c>
      <c r="H1026" s="123" t="str">
        <f t="shared" si="16"/>
        <v>07090130041000</v>
      </c>
    </row>
    <row r="1027" spans="1:8" ht="76.5">
      <c r="A1027" s="316" t="s">
        <v>1318</v>
      </c>
      <c r="B1027" s="317" t="s">
        <v>207</v>
      </c>
      <c r="C1027" s="317" t="s">
        <v>420</v>
      </c>
      <c r="D1027" s="317" t="s">
        <v>1128</v>
      </c>
      <c r="E1027" s="317" t="s">
        <v>273</v>
      </c>
      <c r="F1027" s="312">
        <v>15754200</v>
      </c>
      <c r="G1027" s="312">
        <v>15754200</v>
      </c>
      <c r="H1027" s="123" t="str">
        <f t="shared" si="16"/>
        <v>07090130041000100</v>
      </c>
    </row>
    <row r="1028" spans="1:8" ht="25.5">
      <c r="A1028" s="316" t="s">
        <v>1190</v>
      </c>
      <c r="B1028" s="317" t="s">
        <v>207</v>
      </c>
      <c r="C1028" s="317" t="s">
        <v>420</v>
      </c>
      <c r="D1028" s="317" t="s">
        <v>1128</v>
      </c>
      <c r="E1028" s="317" t="s">
        <v>133</v>
      </c>
      <c r="F1028" s="312">
        <v>15754200</v>
      </c>
      <c r="G1028" s="312">
        <v>15754200</v>
      </c>
      <c r="H1028" s="123" t="str">
        <f t="shared" si="16"/>
        <v>07090130041000110</v>
      </c>
    </row>
    <row r="1029" spans="1:8">
      <c r="A1029" s="316" t="s">
        <v>1138</v>
      </c>
      <c r="B1029" s="317" t="s">
        <v>207</v>
      </c>
      <c r="C1029" s="317" t="s">
        <v>420</v>
      </c>
      <c r="D1029" s="317" t="s">
        <v>1128</v>
      </c>
      <c r="E1029" s="317" t="s">
        <v>342</v>
      </c>
      <c r="F1029" s="312">
        <v>12100000</v>
      </c>
      <c r="G1029" s="312">
        <v>12100000</v>
      </c>
      <c r="H1029" s="123" t="str">
        <f t="shared" si="16"/>
        <v>07090130041000111</v>
      </c>
    </row>
    <row r="1030" spans="1:8" ht="51">
      <c r="A1030" s="316" t="s">
        <v>1139</v>
      </c>
      <c r="B1030" s="317" t="s">
        <v>207</v>
      </c>
      <c r="C1030" s="317" t="s">
        <v>420</v>
      </c>
      <c r="D1030" s="317" t="s">
        <v>1128</v>
      </c>
      <c r="E1030" s="317" t="s">
        <v>1056</v>
      </c>
      <c r="F1030" s="312">
        <v>3654200</v>
      </c>
      <c r="G1030" s="312">
        <v>3654200</v>
      </c>
      <c r="H1030" s="123" t="str">
        <f t="shared" si="16"/>
        <v>07090130041000119</v>
      </c>
    </row>
    <row r="1031" spans="1:8" ht="114.75">
      <c r="A1031" s="316" t="s">
        <v>611</v>
      </c>
      <c r="B1031" s="317" t="s">
        <v>207</v>
      </c>
      <c r="C1031" s="317" t="s">
        <v>420</v>
      </c>
      <c r="D1031" s="317" t="s">
        <v>1129</v>
      </c>
      <c r="E1031" s="317" t="s">
        <v>1173</v>
      </c>
      <c r="F1031" s="312">
        <v>450000</v>
      </c>
      <c r="G1031" s="312">
        <v>450000</v>
      </c>
      <c r="H1031" s="123" t="str">
        <f t="shared" si="16"/>
        <v>07090130047000</v>
      </c>
    </row>
    <row r="1032" spans="1:8" ht="76.5">
      <c r="A1032" s="316" t="s">
        <v>1318</v>
      </c>
      <c r="B1032" s="317" t="s">
        <v>207</v>
      </c>
      <c r="C1032" s="317" t="s">
        <v>420</v>
      </c>
      <c r="D1032" s="317" t="s">
        <v>1129</v>
      </c>
      <c r="E1032" s="317" t="s">
        <v>273</v>
      </c>
      <c r="F1032" s="312">
        <v>450000</v>
      </c>
      <c r="G1032" s="312">
        <v>450000</v>
      </c>
      <c r="H1032" s="123" t="str">
        <f t="shared" si="16"/>
        <v>07090130047000100</v>
      </c>
    </row>
    <row r="1033" spans="1:8" ht="25.5">
      <c r="A1033" s="316" t="s">
        <v>1190</v>
      </c>
      <c r="B1033" s="317" t="s">
        <v>207</v>
      </c>
      <c r="C1033" s="317" t="s">
        <v>420</v>
      </c>
      <c r="D1033" s="317" t="s">
        <v>1129</v>
      </c>
      <c r="E1033" s="317" t="s">
        <v>133</v>
      </c>
      <c r="F1033" s="312">
        <v>450000</v>
      </c>
      <c r="G1033" s="312">
        <v>450000</v>
      </c>
      <c r="H1033" s="123" t="str">
        <f t="shared" si="16"/>
        <v>07090130047000110</v>
      </c>
    </row>
    <row r="1034" spans="1:8" ht="25.5">
      <c r="A1034" s="316" t="s">
        <v>1147</v>
      </c>
      <c r="B1034" s="317" t="s">
        <v>207</v>
      </c>
      <c r="C1034" s="317" t="s">
        <v>420</v>
      </c>
      <c r="D1034" s="317" t="s">
        <v>1129</v>
      </c>
      <c r="E1034" s="317" t="s">
        <v>391</v>
      </c>
      <c r="F1034" s="312">
        <v>450000</v>
      </c>
      <c r="G1034" s="312">
        <v>450000</v>
      </c>
      <c r="H1034" s="123" t="str">
        <f t="shared" si="16"/>
        <v>07090130047000112</v>
      </c>
    </row>
    <row r="1035" spans="1:8" ht="89.25">
      <c r="A1035" s="316" t="s">
        <v>612</v>
      </c>
      <c r="B1035" s="317" t="s">
        <v>207</v>
      </c>
      <c r="C1035" s="317" t="s">
        <v>420</v>
      </c>
      <c r="D1035" s="317" t="s">
        <v>1130</v>
      </c>
      <c r="E1035" s="317" t="s">
        <v>1173</v>
      </c>
      <c r="F1035" s="312">
        <v>47400</v>
      </c>
      <c r="G1035" s="312">
        <v>47400</v>
      </c>
      <c r="H1035" s="123" t="str">
        <f t="shared" si="16"/>
        <v>0709013004Г000</v>
      </c>
    </row>
    <row r="1036" spans="1:8" ht="38.25">
      <c r="A1036" s="316" t="s">
        <v>1319</v>
      </c>
      <c r="B1036" s="317" t="s">
        <v>207</v>
      </c>
      <c r="C1036" s="317" t="s">
        <v>420</v>
      </c>
      <c r="D1036" s="317" t="s">
        <v>1130</v>
      </c>
      <c r="E1036" s="317" t="s">
        <v>1320</v>
      </c>
      <c r="F1036" s="312">
        <v>47400</v>
      </c>
      <c r="G1036" s="312">
        <v>47400</v>
      </c>
      <c r="H1036" s="123" t="str">
        <f t="shared" si="16"/>
        <v>0709013004Г000200</v>
      </c>
    </row>
    <row r="1037" spans="1:8" ht="38.25">
      <c r="A1037" s="316" t="s">
        <v>1196</v>
      </c>
      <c r="B1037" s="317" t="s">
        <v>207</v>
      </c>
      <c r="C1037" s="317" t="s">
        <v>420</v>
      </c>
      <c r="D1037" s="317" t="s">
        <v>1130</v>
      </c>
      <c r="E1037" s="317" t="s">
        <v>1197</v>
      </c>
      <c r="F1037" s="312">
        <v>47400</v>
      </c>
      <c r="G1037" s="312">
        <v>47400</v>
      </c>
      <c r="H1037" s="123" t="str">
        <f t="shared" si="16"/>
        <v>0709013004Г000240</v>
      </c>
    </row>
    <row r="1038" spans="1:8">
      <c r="A1038" s="316" t="s">
        <v>1223</v>
      </c>
      <c r="B1038" s="317" t="s">
        <v>207</v>
      </c>
      <c r="C1038" s="317" t="s">
        <v>420</v>
      </c>
      <c r="D1038" s="317" t="s">
        <v>1130</v>
      </c>
      <c r="E1038" s="317" t="s">
        <v>329</v>
      </c>
      <c r="F1038" s="312">
        <v>47400</v>
      </c>
      <c r="G1038" s="312">
        <v>47400</v>
      </c>
      <c r="H1038" s="123" t="str">
        <f t="shared" si="16"/>
        <v>0709013004Г000244</v>
      </c>
    </row>
    <row r="1039" spans="1:8" ht="102">
      <c r="A1039" s="316" t="s">
        <v>1851</v>
      </c>
      <c r="B1039" s="317" t="s">
        <v>207</v>
      </c>
      <c r="C1039" s="317" t="s">
        <v>420</v>
      </c>
      <c r="D1039" s="317" t="s">
        <v>1852</v>
      </c>
      <c r="E1039" s="317" t="s">
        <v>1173</v>
      </c>
      <c r="F1039" s="312">
        <v>20000</v>
      </c>
      <c r="G1039" s="312">
        <v>20000</v>
      </c>
      <c r="H1039" s="123" t="str">
        <f t="shared" si="16"/>
        <v>0709013004М000</v>
      </c>
    </row>
    <row r="1040" spans="1:8" ht="38.25">
      <c r="A1040" s="316" t="s">
        <v>1319</v>
      </c>
      <c r="B1040" s="317" t="s">
        <v>207</v>
      </c>
      <c r="C1040" s="317" t="s">
        <v>420</v>
      </c>
      <c r="D1040" s="317" t="s">
        <v>1852</v>
      </c>
      <c r="E1040" s="317" t="s">
        <v>1320</v>
      </c>
      <c r="F1040" s="312">
        <v>20000</v>
      </c>
      <c r="G1040" s="312">
        <v>20000</v>
      </c>
      <c r="H1040" s="123" t="str">
        <f t="shared" si="16"/>
        <v>0709013004М000200</v>
      </c>
    </row>
    <row r="1041" spans="1:8" ht="38.25">
      <c r="A1041" s="316" t="s">
        <v>1196</v>
      </c>
      <c r="B1041" s="317" t="s">
        <v>207</v>
      </c>
      <c r="C1041" s="317" t="s">
        <v>420</v>
      </c>
      <c r="D1041" s="317" t="s">
        <v>1852</v>
      </c>
      <c r="E1041" s="317" t="s">
        <v>1197</v>
      </c>
      <c r="F1041" s="312">
        <v>20000</v>
      </c>
      <c r="G1041" s="312">
        <v>20000</v>
      </c>
      <c r="H1041" s="123" t="str">
        <f t="shared" si="16"/>
        <v>0709013004М000240</v>
      </c>
    </row>
    <row r="1042" spans="1:8">
      <c r="A1042" s="316" t="s">
        <v>1223</v>
      </c>
      <c r="B1042" s="317" t="s">
        <v>207</v>
      </c>
      <c r="C1042" s="317" t="s">
        <v>420</v>
      </c>
      <c r="D1042" s="317" t="s">
        <v>1852</v>
      </c>
      <c r="E1042" s="317" t="s">
        <v>329</v>
      </c>
      <c r="F1042" s="312">
        <v>20000</v>
      </c>
      <c r="G1042" s="312">
        <v>20000</v>
      </c>
      <c r="H1042" s="123" t="str">
        <f t="shared" si="16"/>
        <v>0709013004М000244</v>
      </c>
    </row>
    <row r="1043" spans="1:8" ht="76.5">
      <c r="A1043" s="316" t="s">
        <v>968</v>
      </c>
      <c r="B1043" s="317" t="s">
        <v>207</v>
      </c>
      <c r="C1043" s="317" t="s">
        <v>420</v>
      </c>
      <c r="D1043" s="317" t="s">
        <v>1153</v>
      </c>
      <c r="E1043" s="317" t="s">
        <v>1173</v>
      </c>
      <c r="F1043" s="312">
        <v>1180000</v>
      </c>
      <c r="G1043" s="312">
        <v>1180000</v>
      </c>
      <c r="H1043" s="123" t="str">
        <f t="shared" si="16"/>
        <v>0709013004Э000</v>
      </c>
    </row>
    <row r="1044" spans="1:8" ht="38.25">
      <c r="A1044" s="316" t="s">
        <v>1319</v>
      </c>
      <c r="B1044" s="317" t="s">
        <v>207</v>
      </c>
      <c r="C1044" s="317" t="s">
        <v>420</v>
      </c>
      <c r="D1044" s="317" t="s">
        <v>1153</v>
      </c>
      <c r="E1044" s="317" t="s">
        <v>1320</v>
      </c>
      <c r="F1044" s="312">
        <v>1180000</v>
      </c>
      <c r="G1044" s="312">
        <v>1180000</v>
      </c>
      <c r="H1044" s="123" t="str">
        <f t="shared" si="16"/>
        <v>0709013004Э000200</v>
      </c>
    </row>
    <row r="1045" spans="1:8" ht="38.25">
      <c r="A1045" s="316" t="s">
        <v>1196</v>
      </c>
      <c r="B1045" s="317" t="s">
        <v>207</v>
      </c>
      <c r="C1045" s="317" t="s">
        <v>420</v>
      </c>
      <c r="D1045" s="317" t="s">
        <v>1153</v>
      </c>
      <c r="E1045" s="317" t="s">
        <v>1197</v>
      </c>
      <c r="F1045" s="312">
        <v>1180000</v>
      </c>
      <c r="G1045" s="312">
        <v>1180000</v>
      </c>
      <c r="H1045" s="123" t="str">
        <f t="shared" si="16"/>
        <v>0709013004Э000240</v>
      </c>
    </row>
    <row r="1046" spans="1:8">
      <c r="A1046" s="316" t="s">
        <v>1699</v>
      </c>
      <c r="B1046" s="317" t="s">
        <v>207</v>
      </c>
      <c r="C1046" s="317" t="s">
        <v>420</v>
      </c>
      <c r="D1046" s="317" t="s">
        <v>1153</v>
      </c>
      <c r="E1046" s="317" t="s">
        <v>1700</v>
      </c>
      <c r="F1046" s="312">
        <v>1180000</v>
      </c>
      <c r="G1046" s="312">
        <v>1180000</v>
      </c>
      <c r="H1046" s="123" t="str">
        <f t="shared" si="16"/>
        <v>0709013004Э000247</v>
      </c>
    </row>
    <row r="1047" spans="1:8" ht="102">
      <c r="A1047" s="316" t="s">
        <v>613</v>
      </c>
      <c r="B1047" s="317" t="s">
        <v>207</v>
      </c>
      <c r="C1047" s="317" t="s">
        <v>420</v>
      </c>
      <c r="D1047" s="317" t="s">
        <v>1131</v>
      </c>
      <c r="E1047" s="317" t="s">
        <v>1173</v>
      </c>
      <c r="F1047" s="312">
        <v>7689550</v>
      </c>
      <c r="G1047" s="312">
        <v>7689550</v>
      </c>
      <c r="H1047" s="123" t="str">
        <f t="shared" si="16"/>
        <v>07090130060000</v>
      </c>
    </row>
    <row r="1048" spans="1:8" ht="76.5">
      <c r="A1048" s="316" t="s">
        <v>1318</v>
      </c>
      <c r="B1048" s="317" t="s">
        <v>207</v>
      </c>
      <c r="C1048" s="317" t="s">
        <v>420</v>
      </c>
      <c r="D1048" s="317" t="s">
        <v>1131</v>
      </c>
      <c r="E1048" s="317" t="s">
        <v>273</v>
      </c>
      <c r="F1048" s="312">
        <v>7452800</v>
      </c>
      <c r="G1048" s="312">
        <v>7452800</v>
      </c>
      <c r="H1048" s="123" t="str">
        <f t="shared" si="16"/>
        <v>07090130060000100</v>
      </c>
    </row>
    <row r="1049" spans="1:8" ht="38.25">
      <c r="A1049" s="316" t="s">
        <v>1203</v>
      </c>
      <c r="B1049" s="317" t="s">
        <v>207</v>
      </c>
      <c r="C1049" s="317" t="s">
        <v>420</v>
      </c>
      <c r="D1049" s="317" t="s">
        <v>1131</v>
      </c>
      <c r="E1049" s="317" t="s">
        <v>28</v>
      </c>
      <c r="F1049" s="312">
        <v>7452800</v>
      </c>
      <c r="G1049" s="312">
        <v>7452800</v>
      </c>
      <c r="H1049" s="123" t="str">
        <f t="shared" si="16"/>
        <v>07090130060000120</v>
      </c>
    </row>
    <row r="1050" spans="1:8" ht="25.5">
      <c r="A1050" s="316" t="s">
        <v>953</v>
      </c>
      <c r="B1050" s="317" t="s">
        <v>207</v>
      </c>
      <c r="C1050" s="317" t="s">
        <v>420</v>
      </c>
      <c r="D1050" s="317" t="s">
        <v>1131</v>
      </c>
      <c r="E1050" s="317" t="s">
        <v>324</v>
      </c>
      <c r="F1050" s="312">
        <v>5675490</v>
      </c>
      <c r="G1050" s="312">
        <v>5675490</v>
      </c>
      <c r="H1050" s="123" t="str">
        <f t="shared" si="16"/>
        <v>07090130060000121</v>
      </c>
    </row>
    <row r="1051" spans="1:8" ht="51">
      <c r="A1051" s="316" t="s">
        <v>325</v>
      </c>
      <c r="B1051" s="317" t="s">
        <v>207</v>
      </c>
      <c r="C1051" s="317" t="s">
        <v>420</v>
      </c>
      <c r="D1051" s="317" t="s">
        <v>1131</v>
      </c>
      <c r="E1051" s="317" t="s">
        <v>326</v>
      </c>
      <c r="F1051" s="312">
        <v>83000</v>
      </c>
      <c r="G1051" s="312">
        <v>83000</v>
      </c>
      <c r="H1051" s="123" t="str">
        <f t="shared" si="16"/>
        <v>07090130060000122</v>
      </c>
    </row>
    <row r="1052" spans="1:8" ht="63.75">
      <c r="A1052" s="316" t="s">
        <v>1054</v>
      </c>
      <c r="B1052" s="317" t="s">
        <v>207</v>
      </c>
      <c r="C1052" s="317" t="s">
        <v>420</v>
      </c>
      <c r="D1052" s="317" t="s">
        <v>1131</v>
      </c>
      <c r="E1052" s="317" t="s">
        <v>1055</v>
      </c>
      <c r="F1052" s="312">
        <v>1694310</v>
      </c>
      <c r="G1052" s="312">
        <v>1694310</v>
      </c>
      <c r="H1052" s="123" t="str">
        <f t="shared" si="16"/>
        <v>07090130060000129</v>
      </c>
    </row>
    <row r="1053" spans="1:8" ht="38.25">
      <c r="A1053" s="316" t="s">
        <v>1319</v>
      </c>
      <c r="B1053" s="317" t="s">
        <v>207</v>
      </c>
      <c r="C1053" s="317" t="s">
        <v>420</v>
      </c>
      <c r="D1053" s="317" t="s">
        <v>1131</v>
      </c>
      <c r="E1053" s="317" t="s">
        <v>1320</v>
      </c>
      <c r="F1053" s="312">
        <v>236750</v>
      </c>
      <c r="G1053" s="312">
        <v>236750</v>
      </c>
      <c r="H1053" s="123" t="str">
        <f t="shared" si="16"/>
        <v>07090130060000200</v>
      </c>
    </row>
    <row r="1054" spans="1:8" ht="38.25">
      <c r="A1054" s="316" t="s">
        <v>1196</v>
      </c>
      <c r="B1054" s="317" t="s">
        <v>207</v>
      </c>
      <c r="C1054" s="317" t="s">
        <v>420</v>
      </c>
      <c r="D1054" s="317" t="s">
        <v>1131</v>
      </c>
      <c r="E1054" s="317" t="s">
        <v>1197</v>
      </c>
      <c r="F1054" s="312">
        <v>236750</v>
      </c>
      <c r="G1054" s="312">
        <v>236750</v>
      </c>
      <c r="H1054" s="123" t="str">
        <f t="shared" si="16"/>
        <v>07090130060000240</v>
      </c>
    </row>
    <row r="1055" spans="1:8">
      <c r="A1055" s="316" t="s">
        <v>1223</v>
      </c>
      <c r="B1055" s="317" t="s">
        <v>207</v>
      </c>
      <c r="C1055" s="317" t="s">
        <v>420</v>
      </c>
      <c r="D1055" s="317" t="s">
        <v>1131</v>
      </c>
      <c r="E1055" s="317" t="s">
        <v>329</v>
      </c>
      <c r="F1055" s="312">
        <v>236750</v>
      </c>
      <c r="G1055" s="312">
        <v>236750</v>
      </c>
      <c r="H1055" s="123" t="str">
        <f t="shared" si="16"/>
        <v>07090130060000244</v>
      </c>
    </row>
    <row r="1056" spans="1:8" ht="127.5">
      <c r="A1056" s="316" t="s">
        <v>614</v>
      </c>
      <c r="B1056" s="317" t="s">
        <v>207</v>
      </c>
      <c r="C1056" s="317" t="s">
        <v>420</v>
      </c>
      <c r="D1056" s="317" t="s">
        <v>1132</v>
      </c>
      <c r="E1056" s="317" t="s">
        <v>1173</v>
      </c>
      <c r="F1056" s="312">
        <v>250000</v>
      </c>
      <c r="G1056" s="312">
        <v>250000</v>
      </c>
      <c r="H1056" s="123" t="str">
        <f t="shared" si="16"/>
        <v>07090130067000</v>
      </c>
    </row>
    <row r="1057" spans="1:8" ht="76.5">
      <c r="A1057" s="316" t="s">
        <v>1318</v>
      </c>
      <c r="B1057" s="317" t="s">
        <v>207</v>
      </c>
      <c r="C1057" s="317" t="s">
        <v>420</v>
      </c>
      <c r="D1057" s="317" t="s">
        <v>1132</v>
      </c>
      <c r="E1057" s="317" t="s">
        <v>273</v>
      </c>
      <c r="F1057" s="312">
        <v>250000</v>
      </c>
      <c r="G1057" s="312">
        <v>250000</v>
      </c>
      <c r="H1057" s="123" t="str">
        <f t="shared" si="16"/>
        <v>07090130067000100</v>
      </c>
    </row>
    <row r="1058" spans="1:8" ht="38.25">
      <c r="A1058" s="316" t="s">
        <v>1203</v>
      </c>
      <c r="B1058" s="317" t="s">
        <v>207</v>
      </c>
      <c r="C1058" s="317" t="s">
        <v>420</v>
      </c>
      <c r="D1058" s="317" t="s">
        <v>1132</v>
      </c>
      <c r="E1058" s="317" t="s">
        <v>28</v>
      </c>
      <c r="F1058" s="312">
        <v>250000</v>
      </c>
      <c r="G1058" s="312">
        <v>250000</v>
      </c>
      <c r="H1058" s="123" t="str">
        <f t="shared" si="16"/>
        <v>07090130067000120</v>
      </c>
    </row>
    <row r="1059" spans="1:8" ht="51">
      <c r="A1059" s="316" t="s">
        <v>325</v>
      </c>
      <c r="B1059" s="317" t="s">
        <v>207</v>
      </c>
      <c r="C1059" s="317" t="s">
        <v>420</v>
      </c>
      <c r="D1059" s="317" t="s">
        <v>1132</v>
      </c>
      <c r="E1059" s="317" t="s">
        <v>326</v>
      </c>
      <c r="F1059" s="312">
        <v>250000</v>
      </c>
      <c r="G1059" s="312">
        <v>250000</v>
      </c>
      <c r="H1059" s="123" t="str">
        <f t="shared" si="16"/>
        <v>07090130067000122</v>
      </c>
    </row>
    <row r="1060" spans="1:8" ht="114.75">
      <c r="A1060" s="316" t="s">
        <v>1853</v>
      </c>
      <c r="B1060" s="317" t="s">
        <v>207</v>
      </c>
      <c r="C1060" s="317" t="s">
        <v>420</v>
      </c>
      <c r="D1060" s="317" t="s">
        <v>1854</v>
      </c>
      <c r="E1060" s="317" t="s">
        <v>1173</v>
      </c>
      <c r="F1060" s="312">
        <v>1434000</v>
      </c>
      <c r="G1060" s="312">
        <v>1434000</v>
      </c>
      <c r="H1060" s="123" t="str">
        <f t="shared" si="16"/>
        <v>0709013006Э000</v>
      </c>
    </row>
    <row r="1061" spans="1:8" ht="38.25">
      <c r="A1061" s="316" t="s">
        <v>1319</v>
      </c>
      <c r="B1061" s="317" t="s">
        <v>207</v>
      </c>
      <c r="C1061" s="317" t="s">
        <v>420</v>
      </c>
      <c r="D1061" s="317" t="s">
        <v>1854</v>
      </c>
      <c r="E1061" s="317" t="s">
        <v>1320</v>
      </c>
      <c r="F1061" s="312">
        <v>1434000</v>
      </c>
      <c r="G1061" s="312">
        <v>1434000</v>
      </c>
      <c r="H1061" s="123" t="str">
        <f t="shared" si="16"/>
        <v>0709013006Э000200</v>
      </c>
    </row>
    <row r="1062" spans="1:8" ht="38.25">
      <c r="A1062" s="316" t="s">
        <v>1196</v>
      </c>
      <c r="B1062" s="317" t="s">
        <v>207</v>
      </c>
      <c r="C1062" s="317" t="s">
        <v>420</v>
      </c>
      <c r="D1062" s="317" t="s">
        <v>1854</v>
      </c>
      <c r="E1062" s="317" t="s">
        <v>1197</v>
      </c>
      <c r="F1062" s="312">
        <v>1434000</v>
      </c>
      <c r="G1062" s="312">
        <v>1434000</v>
      </c>
      <c r="H1062" s="123" t="str">
        <f t="shared" ref="H1062:H1125" si="17">CONCATENATE(C1062,,D1062,E1062)</f>
        <v>0709013006Э000240</v>
      </c>
    </row>
    <row r="1063" spans="1:8">
      <c r="A1063" s="316" t="s">
        <v>1699</v>
      </c>
      <c r="B1063" s="317" t="s">
        <v>207</v>
      </c>
      <c r="C1063" s="317" t="s">
        <v>420</v>
      </c>
      <c r="D1063" s="317" t="s">
        <v>1854</v>
      </c>
      <c r="E1063" s="317" t="s">
        <v>1700</v>
      </c>
      <c r="F1063" s="312">
        <v>1434000</v>
      </c>
      <c r="G1063" s="312">
        <v>1434000</v>
      </c>
      <c r="H1063" s="123" t="str">
        <f t="shared" si="17"/>
        <v>0709013006Э000247</v>
      </c>
    </row>
    <row r="1064" spans="1:8">
      <c r="A1064" s="316" t="s">
        <v>141</v>
      </c>
      <c r="B1064" s="317" t="s">
        <v>207</v>
      </c>
      <c r="C1064" s="317" t="s">
        <v>1143</v>
      </c>
      <c r="D1064" s="317" t="s">
        <v>1173</v>
      </c>
      <c r="E1064" s="317" t="s">
        <v>1173</v>
      </c>
      <c r="F1064" s="312">
        <v>62482300</v>
      </c>
      <c r="G1064" s="312">
        <v>63216400</v>
      </c>
      <c r="H1064" s="123" t="str">
        <f t="shared" si="17"/>
        <v>1000</v>
      </c>
    </row>
    <row r="1065" spans="1:8">
      <c r="A1065" s="316" t="s">
        <v>98</v>
      </c>
      <c r="B1065" s="317" t="s">
        <v>207</v>
      </c>
      <c r="C1065" s="317" t="s">
        <v>378</v>
      </c>
      <c r="D1065" s="317" t="s">
        <v>1173</v>
      </c>
      <c r="E1065" s="317" t="s">
        <v>1173</v>
      </c>
      <c r="F1065" s="312">
        <v>58577900</v>
      </c>
      <c r="G1065" s="312">
        <v>59312000</v>
      </c>
      <c r="H1065" s="123" t="str">
        <f t="shared" si="17"/>
        <v>1003</v>
      </c>
    </row>
    <row r="1066" spans="1:8" ht="25.5">
      <c r="A1066" s="316" t="s">
        <v>442</v>
      </c>
      <c r="B1066" s="317" t="s">
        <v>207</v>
      </c>
      <c r="C1066" s="317" t="s">
        <v>378</v>
      </c>
      <c r="D1066" s="317" t="s">
        <v>971</v>
      </c>
      <c r="E1066" s="317" t="s">
        <v>1173</v>
      </c>
      <c r="F1066" s="312">
        <v>58577900</v>
      </c>
      <c r="G1066" s="312">
        <v>59312000</v>
      </c>
      <c r="H1066" s="123" t="str">
        <f t="shared" si="17"/>
        <v>10030100000000</v>
      </c>
    </row>
    <row r="1067" spans="1:8" ht="38.25">
      <c r="A1067" s="316" t="s">
        <v>443</v>
      </c>
      <c r="B1067" s="317" t="s">
        <v>207</v>
      </c>
      <c r="C1067" s="317" t="s">
        <v>378</v>
      </c>
      <c r="D1067" s="317" t="s">
        <v>972</v>
      </c>
      <c r="E1067" s="317" t="s">
        <v>1173</v>
      </c>
      <c r="F1067" s="312">
        <v>58577900</v>
      </c>
      <c r="G1067" s="312">
        <v>59312000</v>
      </c>
      <c r="H1067" s="123" t="str">
        <f t="shared" si="17"/>
        <v>10030110000000</v>
      </c>
    </row>
    <row r="1068" spans="1:8" ht="204">
      <c r="A1068" s="316" t="s">
        <v>1360</v>
      </c>
      <c r="B1068" s="317" t="s">
        <v>207</v>
      </c>
      <c r="C1068" s="317" t="s">
        <v>378</v>
      </c>
      <c r="D1068" s="317" t="s">
        <v>785</v>
      </c>
      <c r="E1068" s="317" t="s">
        <v>1173</v>
      </c>
      <c r="F1068" s="312">
        <v>817000</v>
      </c>
      <c r="G1068" s="312">
        <v>817000</v>
      </c>
      <c r="H1068" s="123" t="str">
        <f t="shared" si="17"/>
        <v>10030110075540</v>
      </c>
    </row>
    <row r="1069" spans="1:8" ht="38.25">
      <c r="A1069" s="316" t="s">
        <v>1319</v>
      </c>
      <c r="B1069" s="317" t="s">
        <v>207</v>
      </c>
      <c r="C1069" s="317" t="s">
        <v>378</v>
      </c>
      <c r="D1069" s="317" t="s">
        <v>785</v>
      </c>
      <c r="E1069" s="317" t="s">
        <v>1320</v>
      </c>
      <c r="F1069" s="312">
        <v>817000</v>
      </c>
      <c r="G1069" s="312">
        <v>817000</v>
      </c>
      <c r="H1069" s="123" t="str">
        <f t="shared" si="17"/>
        <v>10030110075540200</v>
      </c>
    </row>
    <row r="1070" spans="1:8" ht="38.25">
      <c r="A1070" s="316" t="s">
        <v>1196</v>
      </c>
      <c r="B1070" s="317" t="s">
        <v>207</v>
      </c>
      <c r="C1070" s="317" t="s">
        <v>378</v>
      </c>
      <c r="D1070" s="317" t="s">
        <v>785</v>
      </c>
      <c r="E1070" s="317" t="s">
        <v>1197</v>
      </c>
      <c r="F1070" s="312">
        <v>817000</v>
      </c>
      <c r="G1070" s="312">
        <v>817000</v>
      </c>
      <c r="H1070" s="123" t="str">
        <f t="shared" si="17"/>
        <v>10030110075540240</v>
      </c>
    </row>
    <row r="1071" spans="1:8">
      <c r="A1071" s="316" t="s">
        <v>1223</v>
      </c>
      <c r="B1071" s="317" t="s">
        <v>207</v>
      </c>
      <c r="C1071" s="317" t="s">
        <v>378</v>
      </c>
      <c r="D1071" s="317" t="s">
        <v>785</v>
      </c>
      <c r="E1071" s="317" t="s">
        <v>329</v>
      </c>
      <c r="F1071" s="312">
        <v>817000</v>
      </c>
      <c r="G1071" s="312">
        <v>817000</v>
      </c>
      <c r="H1071" s="123" t="str">
        <f t="shared" si="17"/>
        <v>10030110075540244</v>
      </c>
    </row>
    <row r="1072" spans="1:8" ht="153">
      <c r="A1072" s="316" t="s">
        <v>1361</v>
      </c>
      <c r="B1072" s="317" t="s">
        <v>207</v>
      </c>
      <c r="C1072" s="317" t="s">
        <v>378</v>
      </c>
      <c r="D1072" s="317" t="s">
        <v>786</v>
      </c>
      <c r="E1072" s="317" t="s">
        <v>1173</v>
      </c>
      <c r="F1072" s="312">
        <v>25151300</v>
      </c>
      <c r="G1072" s="312">
        <v>25151300</v>
      </c>
      <c r="H1072" s="123" t="str">
        <f t="shared" si="17"/>
        <v>10030110075660</v>
      </c>
    </row>
    <row r="1073" spans="1:8" ht="38.25">
      <c r="A1073" s="316" t="s">
        <v>1319</v>
      </c>
      <c r="B1073" s="317" t="s">
        <v>207</v>
      </c>
      <c r="C1073" s="317" t="s">
        <v>378</v>
      </c>
      <c r="D1073" s="317" t="s">
        <v>786</v>
      </c>
      <c r="E1073" s="317" t="s">
        <v>1320</v>
      </c>
      <c r="F1073" s="312">
        <v>24006300</v>
      </c>
      <c r="G1073" s="312">
        <v>24006300</v>
      </c>
      <c r="H1073" s="123" t="str">
        <f t="shared" si="17"/>
        <v>10030110075660200</v>
      </c>
    </row>
    <row r="1074" spans="1:8" ht="38.25">
      <c r="A1074" s="316" t="s">
        <v>1196</v>
      </c>
      <c r="B1074" s="317" t="s">
        <v>207</v>
      </c>
      <c r="C1074" s="317" t="s">
        <v>378</v>
      </c>
      <c r="D1074" s="317" t="s">
        <v>786</v>
      </c>
      <c r="E1074" s="317" t="s">
        <v>1197</v>
      </c>
      <c r="F1074" s="312">
        <v>24006300</v>
      </c>
      <c r="G1074" s="312">
        <v>24006300</v>
      </c>
      <c r="H1074" s="123" t="str">
        <f t="shared" si="17"/>
        <v>10030110075660240</v>
      </c>
    </row>
    <row r="1075" spans="1:8">
      <c r="A1075" s="316" t="s">
        <v>1223</v>
      </c>
      <c r="B1075" s="317" t="s">
        <v>207</v>
      </c>
      <c r="C1075" s="317" t="s">
        <v>378</v>
      </c>
      <c r="D1075" s="317" t="s">
        <v>786</v>
      </c>
      <c r="E1075" s="317" t="s">
        <v>329</v>
      </c>
      <c r="F1075" s="312">
        <v>24006300</v>
      </c>
      <c r="G1075" s="312">
        <v>24006300</v>
      </c>
      <c r="H1075" s="123" t="str">
        <f t="shared" si="17"/>
        <v>10030110075660244</v>
      </c>
    </row>
    <row r="1076" spans="1:8" ht="25.5">
      <c r="A1076" s="316" t="s">
        <v>1323</v>
      </c>
      <c r="B1076" s="317" t="s">
        <v>207</v>
      </c>
      <c r="C1076" s="317" t="s">
        <v>378</v>
      </c>
      <c r="D1076" s="317" t="s">
        <v>786</v>
      </c>
      <c r="E1076" s="317" t="s">
        <v>1324</v>
      </c>
      <c r="F1076" s="312">
        <v>1145000</v>
      </c>
      <c r="G1076" s="312">
        <v>1145000</v>
      </c>
      <c r="H1076" s="123" t="str">
        <f t="shared" si="17"/>
        <v>10030110075660300</v>
      </c>
    </row>
    <row r="1077" spans="1:8" ht="38.25">
      <c r="A1077" s="316" t="s">
        <v>1200</v>
      </c>
      <c r="B1077" s="317" t="s">
        <v>207</v>
      </c>
      <c r="C1077" s="317" t="s">
        <v>378</v>
      </c>
      <c r="D1077" s="317" t="s">
        <v>786</v>
      </c>
      <c r="E1077" s="317" t="s">
        <v>557</v>
      </c>
      <c r="F1077" s="312">
        <v>1145000</v>
      </c>
      <c r="G1077" s="312">
        <v>1145000</v>
      </c>
      <c r="H1077" s="123" t="str">
        <f t="shared" si="17"/>
        <v>10030110075660320</v>
      </c>
    </row>
    <row r="1078" spans="1:8" ht="38.25">
      <c r="A1078" s="316" t="s">
        <v>379</v>
      </c>
      <c r="B1078" s="317" t="s">
        <v>207</v>
      </c>
      <c r="C1078" s="317" t="s">
        <v>378</v>
      </c>
      <c r="D1078" s="317" t="s">
        <v>786</v>
      </c>
      <c r="E1078" s="317" t="s">
        <v>380</v>
      </c>
      <c r="F1078" s="312">
        <v>1145000</v>
      </c>
      <c r="G1078" s="312">
        <v>1145000</v>
      </c>
      <c r="H1078" s="123" t="str">
        <f t="shared" si="17"/>
        <v>10030110075660321</v>
      </c>
    </row>
    <row r="1079" spans="1:8" ht="191.25">
      <c r="A1079" s="316" t="s">
        <v>1666</v>
      </c>
      <c r="B1079" s="317" t="s">
        <v>207</v>
      </c>
      <c r="C1079" s="317" t="s">
        <v>378</v>
      </c>
      <c r="D1079" s="317" t="s">
        <v>1667</v>
      </c>
      <c r="E1079" s="317" t="s">
        <v>1173</v>
      </c>
      <c r="F1079" s="312">
        <v>32609600</v>
      </c>
      <c r="G1079" s="312">
        <v>33343700</v>
      </c>
      <c r="H1079" s="123" t="str">
        <f t="shared" si="17"/>
        <v>100301100L3040</v>
      </c>
    </row>
    <row r="1080" spans="1:8" ht="38.25">
      <c r="A1080" s="316" t="s">
        <v>1319</v>
      </c>
      <c r="B1080" s="317" t="s">
        <v>207</v>
      </c>
      <c r="C1080" s="317" t="s">
        <v>378</v>
      </c>
      <c r="D1080" s="317" t="s">
        <v>1667</v>
      </c>
      <c r="E1080" s="317" t="s">
        <v>1320</v>
      </c>
      <c r="F1080" s="312">
        <v>32609600</v>
      </c>
      <c r="G1080" s="312">
        <v>33343700</v>
      </c>
      <c r="H1080" s="123" t="str">
        <f t="shared" si="17"/>
        <v>100301100L3040200</v>
      </c>
    </row>
    <row r="1081" spans="1:8" ht="38.25">
      <c r="A1081" s="316" t="s">
        <v>1196</v>
      </c>
      <c r="B1081" s="317" t="s">
        <v>207</v>
      </c>
      <c r="C1081" s="317" t="s">
        <v>378</v>
      </c>
      <c r="D1081" s="317" t="s">
        <v>1667</v>
      </c>
      <c r="E1081" s="317" t="s">
        <v>1197</v>
      </c>
      <c r="F1081" s="312">
        <v>32609600</v>
      </c>
      <c r="G1081" s="312">
        <v>33343700</v>
      </c>
      <c r="H1081" s="123" t="str">
        <f t="shared" si="17"/>
        <v>100301100L3040240</v>
      </c>
    </row>
    <row r="1082" spans="1:8">
      <c r="A1082" s="316" t="s">
        <v>1223</v>
      </c>
      <c r="B1082" s="317" t="s">
        <v>207</v>
      </c>
      <c r="C1082" s="317" t="s">
        <v>378</v>
      </c>
      <c r="D1082" s="317" t="s">
        <v>1667</v>
      </c>
      <c r="E1082" s="317" t="s">
        <v>329</v>
      </c>
      <c r="F1082" s="312">
        <v>32609600</v>
      </c>
      <c r="G1082" s="312">
        <v>33343700</v>
      </c>
      <c r="H1082" s="123" t="str">
        <f t="shared" si="17"/>
        <v>100301100L3040244</v>
      </c>
    </row>
    <row r="1083" spans="1:8">
      <c r="A1083" s="316" t="s">
        <v>18</v>
      </c>
      <c r="B1083" s="317" t="s">
        <v>207</v>
      </c>
      <c r="C1083" s="317" t="s">
        <v>423</v>
      </c>
      <c r="D1083" s="317" t="s">
        <v>1173</v>
      </c>
      <c r="E1083" s="317" t="s">
        <v>1173</v>
      </c>
      <c r="F1083" s="312">
        <v>3904400</v>
      </c>
      <c r="G1083" s="312">
        <v>3904400</v>
      </c>
      <c r="H1083" s="123" t="str">
        <f t="shared" si="17"/>
        <v>1004</v>
      </c>
    </row>
    <row r="1084" spans="1:8" ht="25.5">
      <c r="A1084" s="316" t="s">
        <v>442</v>
      </c>
      <c r="B1084" s="317" t="s">
        <v>207</v>
      </c>
      <c r="C1084" s="317" t="s">
        <v>423</v>
      </c>
      <c r="D1084" s="317" t="s">
        <v>971</v>
      </c>
      <c r="E1084" s="317" t="s">
        <v>1173</v>
      </c>
      <c r="F1084" s="312">
        <v>3904400</v>
      </c>
      <c r="G1084" s="312">
        <v>3904400</v>
      </c>
      <c r="H1084" s="123" t="str">
        <f t="shared" si="17"/>
        <v>10040100000000</v>
      </c>
    </row>
    <row r="1085" spans="1:8" ht="38.25">
      <c r="A1085" s="316" t="s">
        <v>443</v>
      </c>
      <c r="B1085" s="317" t="s">
        <v>207</v>
      </c>
      <c r="C1085" s="317" t="s">
        <v>423</v>
      </c>
      <c r="D1085" s="317" t="s">
        <v>972</v>
      </c>
      <c r="E1085" s="317" t="s">
        <v>1173</v>
      </c>
      <c r="F1085" s="312">
        <v>3904400</v>
      </c>
      <c r="G1085" s="312">
        <v>3904400</v>
      </c>
      <c r="H1085" s="123" t="str">
        <f t="shared" si="17"/>
        <v>10040110000000</v>
      </c>
    </row>
    <row r="1086" spans="1:8" ht="140.25">
      <c r="A1086" s="316" t="s">
        <v>1362</v>
      </c>
      <c r="B1086" s="317" t="s">
        <v>207</v>
      </c>
      <c r="C1086" s="317" t="s">
        <v>423</v>
      </c>
      <c r="D1086" s="317" t="s">
        <v>787</v>
      </c>
      <c r="E1086" s="317" t="s">
        <v>1173</v>
      </c>
      <c r="F1086" s="312">
        <v>3904400</v>
      </c>
      <c r="G1086" s="312">
        <v>3904400</v>
      </c>
      <c r="H1086" s="123" t="str">
        <f t="shared" si="17"/>
        <v>10040110075560</v>
      </c>
    </row>
    <row r="1087" spans="1:8" ht="38.25">
      <c r="A1087" s="316" t="s">
        <v>1319</v>
      </c>
      <c r="B1087" s="317" t="s">
        <v>207</v>
      </c>
      <c r="C1087" s="317" t="s">
        <v>423</v>
      </c>
      <c r="D1087" s="317" t="s">
        <v>787</v>
      </c>
      <c r="E1087" s="317" t="s">
        <v>1320</v>
      </c>
      <c r="F1087" s="312">
        <v>10000</v>
      </c>
      <c r="G1087" s="312">
        <v>10000</v>
      </c>
      <c r="H1087" s="123" t="str">
        <f t="shared" si="17"/>
        <v>10040110075560200</v>
      </c>
    </row>
    <row r="1088" spans="1:8" ht="38.25">
      <c r="A1088" s="316" t="s">
        <v>1196</v>
      </c>
      <c r="B1088" s="317" t="s">
        <v>207</v>
      </c>
      <c r="C1088" s="317" t="s">
        <v>423</v>
      </c>
      <c r="D1088" s="317" t="s">
        <v>787</v>
      </c>
      <c r="E1088" s="317" t="s">
        <v>1197</v>
      </c>
      <c r="F1088" s="312">
        <v>10000</v>
      </c>
      <c r="G1088" s="312">
        <v>10000</v>
      </c>
      <c r="H1088" s="123" t="str">
        <f t="shared" si="17"/>
        <v>10040110075560240</v>
      </c>
    </row>
    <row r="1089" spans="1:8">
      <c r="A1089" s="316" t="s">
        <v>1223</v>
      </c>
      <c r="B1089" s="317" t="s">
        <v>207</v>
      </c>
      <c r="C1089" s="317" t="s">
        <v>423</v>
      </c>
      <c r="D1089" s="317" t="s">
        <v>787</v>
      </c>
      <c r="E1089" s="317" t="s">
        <v>329</v>
      </c>
      <c r="F1089" s="312">
        <v>10000</v>
      </c>
      <c r="G1089" s="312">
        <v>10000</v>
      </c>
      <c r="H1089" s="123" t="str">
        <f t="shared" si="17"/>
        <v>10040110075560244</v>
      </c>
    </row>
    <row r="1090" spans="1:8" ht="25.5">
      <c r="A1090" s="316" t="s">
        <v>1323</v>
      </c>
      <c r="B1090" s="317" t="s">
        <v>207</v>
      </c>
      <c r="C1090" s="317" t="s">
        <v>423</v>
      </c>
      <c r="D1090" s="317" t="s">
        <v>787</v>
      </c>
      <c r="E1090" s="317" t="s">
        <v>1324</v>
      </c>
      <c r="F1090" s="312">
        <v>3894400</v>
      </c>
      <c r="G1090" s="312">
        <v>3894400</v>
      </c>
      <c r="H1090" s="123" t="str">
        <f t="shared" si="17"/>
        <v>10040110075560300</v>
      </c>
    </row>
    <row r="1091" spans="1:8" ht="38.25">
      <c r="A1091" s="316" t="s">
        <v>1200</v>
      </c>
      <c r="B1091" s="317" t="s">
        <v>207</v>
      </c>
      <c r="C1091" s="317" t="s">
        <v>423</v>
      </c>
      <c r="D1091" s="317" t="s">
        <v>787</v>
      </c>
      <c r="E1091" s="317" t="s">
        <v>557</v>
      </c>
      <c r="F1091" s="312">
        <v>3894400</v>
      </c>
      <c r="G1091" s="312">
        <v>3894400</v>
      </c>
      <c r="H1091" s="123" t="str">
        <f t="shared" si="17"/>
        <v>10040110075560320</v>
      </c>
    </row>
    <row r="1092" spans="1:8" ht="38.25">
      <c r="A1092" s="316" t="s">
        <v>379</v>
      </c>
      <c r="B1092" s="317" t="s">
        <v>207</v>
      </c>
      <c r="C1092" s="317" t="s">
        <v>423</v>
      </c>
      <c r="D1092" s="317" t="s">
        <v>787</v>
      </c>
      <c r="E1092" s="317" t="s">
        <v>380</v>
      </c>
      <c r="F1092" s="312">
        <v>3894400</v>
      </c>
      <c r="G1092" s="312">
        <v>3894400</v>
      </c>
      <c r="H1092" s="123" t="str">
        <f t="shared" si="17"/>
        <v>10040110075560321</v>
      </c>
    </row>
    <row r="1093" spans="1:8">
      <c r="A1093" s="316" t="s">
        <v>248</v>
      </c>
      <c r="B1093" s="317" t="s">
        <v>207</v>
      </c>
      <c r="C1093" s="317" t="s">
        <v>1144</v>
      </c>
      <c r="D1093" s="317" t="s">
        <v>1173</v>
      </c>
      <c r="E1093" s="317" t="s">
        <v>1173</v>
      </c>
      <c r="F1093" s="312">
        <v>1938956</v>
      </c>
      <c r="G1093" s="312">
        <v>1938956</v>
      </c>
      <c r="H1093" s="123" t="str">
        <f t="shared" si="17"/>
        <v>1100</v>
      </c>
    </row>
    <row r="1094" spans="1:8">
      <c r="A1094" s="316" t="s">
        <v>1228</v>
      </c>
      <c r="B1094" s="317" t="s">
        <v>207</v>
      </c>
      <c r="C1094" s="317" t="s">
        <v>1229</v>
      </c>
      <c r="D1094" s="317" t="s">
        <v>1173</v>
      </c>
      <c r="E1094" s="317" t="s">
        <v>1173</v>
      </c>
      <c r="F1094" s="312">
        <v>1938956</v>
      </c>
      <c r="G1094" s="312">
        <v>1938956</v>
      </c>
      <c r="H1094" s="123" t="str">
        <f t="shared" si="17"/>
        <v>1101</v>
      </c>
    </row>
    <row r="1095" spans="1:8" ht="25.5">
      <c r="A1095" s="316" t="s">
        <v>442</v>
      </c>
      <c r="B1095" s="317" t="s">
        <v>207</v>
      </c>
      <c r="C1095" s="317" t="s">
        <v>1229</v>
      </c>
      <c r="D1095" s="317" t="s">
        <v>971</v>
      </c>
      <c r="E1095" s="317" t="s">
        <v>1173</v>
      </c>
      <c r="F1095" s="312">
        <v>1938956</v>
      </c>
      <c r="G1095" s="312">
        <v>1938956</v>
      </c>
      <c r="H1095" s="123" t="str">
        <f t="shared" si="17"/>
        <v>11010100000000</v>
      </c>
    </row>
    <row r="1096" spans="1:8" ht="38.25">
      <c r="A1096" s="316" t="s">
        <v>443</v>
      </c>
      <c r="B1096" s="317" t="s">
        <v>207</v>
      </c>
      <c r="C1096" s="317" t="s">
        <v>1229</v>
      </c>
      <c r="D1096" s="317" t="s">
        <v>972</v>
      </c>
      <c r="E1096" s="317" t="s">
        <v>1173</v>
      </c>
      <c r="F1096" s="312">
        <v>1938956</v>
      </c>
      <c r="G1096" s="312">
        <v>1938956</v>
      </c>
      <c r="H1096" s="123" t="str">
        <f t="shared" si="17"/>
        <v>11010110000000</v>
      </c>
    </row>
    <row r="1097" spans="1:8" ht="140.25">
      <c r="A1097" s="316" t="s">
        <v>1786</v>
      </c>
      <c r="B1097" s="317" t="s">
        <v>207</v>
      </c>
      <c r="C1097" s="317" t="s">
        <v>1229</v>
      </c>
      <c r="D1097" s="317" t="s">
        <v>1787</v>
      </c>
      <c r="E1097" s="317" t="s">
        <v>1173</v>
      </c>
      <c r="F1097" s="312">
        <v>1368100</v>
      </c>
      <c r="G1097" s="312">
        <v>1368100</v>
      </c>
      <c r="H1097" s="123" t="str">
        <f t="shared" si="17"/>
        <v>11010110040031</v>
      </c>
    </row>
    <row r="1098" spans="1:8" ht="38.25">
      <c r="A1098" s="316" t="s">
        <v>1327</v>
      </c>
      <c r="B1098" s="317" t="s">
        <v>207</v>
      </c>
      <c r="C1098" s="317" t="s">
        <v>1229</v>
      </c>
      <c r="D1098" s="317" t="s">
        <v>1787</v>
      </c>
      <c r="E1098" s="317" t="s">
        <v>1328</v>
      </c>
      <c r="F1098" s="312">
        <v>1368100</v>
      </c>
      <c r="G1098" s="312">
        <v>1368100</v>
      </c>
      <c r="H1098" s="123" t="str">
        <f t="shared" si="17"/>
        <v>11010110040031600</v>
      </c>
    </row>
    <row r="1099" spans="1:8">
      <c r="A1099" s="316" t="s">
        <v>1198</v>
      </c>
      <c r="B1099" s="317" t="s">
        <v>207</v>
      </c>
      <c r="C1099" s="317" t="s">
        <v>1229</v>
      </c>
      <c r="D1099" s="317" t="s">
        <v>1787</v>
      </c>
      <c r="E1099" s="317" t="s">
        <v>1199</v>
      </c>
      <c r="F1099" s="312">
        <v>1368100</v>
      </c>
      <c r="G1099" s="312">
        <v>1368100</v>
      </c>
      <c r="H1099" s="123" t="str">
        <f t="shared" si="17"/>
        <v>11010110040031610</v>
      </c>
    </row>
    <row r="1100" spans="1:8" ht="76.5">
      <c r="A1100" s="316" t="s">
        <v>347</v>
      </c>
      <c r="B1100" s="317" t="s">
        <v>207</v>
      </c>
      <c r="C1100" s="317" t="s">
        <v>1229</v>
      </c>
      <c r="D1100" s="317" t="s">
        <v>1787</v>
      </c>
      <c r="E1100" s="317" t="s">
        <v>348</v>
      </c>
      <c r="F1100" s="312">
        <v>1368100</v>
      </c>
      <c r="G1100" s="312">
        <v>1368100</v>
      </c>
      <c r="H1100" s="123" t="str">
        <f t="shared" si="17"/>
        <v>11010110040031611</v>
      </c>
    </row>
    <row r="1101" spans="1:8" ht="153">
      <c r="A1101" s="316" t="s">
        <v>581</v>
      </c>
      <c r="B1101" s="317" t="s">
        <v>207</v>
      </c>
      <c r="C1101" s="317" t="s">
        <v>1229</v>
      </c>
      <c r="D1101" s="317" t="s">
        <v>760</v>
      </c>
      <c r="E1101" s="317" t="s">
        <v>1173</v>
      </c>
      <c r="F1101" s="312">
        <v>525096</v>
      </c>
      <c r="G1101" s="312">
        <v>525096</v>
      </c>
      <c r="H1101" s="123" t="str">
        <f t="shared" si="17"/>
        <v>1101011004Г030</v>
      </c>
    </row>
    <row r="1102" spans="1:8" ht="38.25">
      <c r="A1102" s="316" t="s">
        <v>1327</v>
      </c>
      <c r="B1102" s="317" t="s">
        <v>207</v>
      </c>
      <c r="C1102" s="317" t="s">
        <v>1229</v>
      </c>
      <c r="D1102" s="317" t="s">
        <v>760</v>
      </c>
      <c r="E1102" s="317" t="s">
        <v>1328</v>
      </c>
      <c r="F1102" s="312">
        <v>525096</v>
      </c>
      <c r="G1102" s="312">
        <v>525096</v>
      </c>
      <c r="H1102" s="123" t="str">
        <f t="shared" si="17"/>
        <v>1101011004Г030600</v>
      </c>
    </row>
    <row r="1103" spans="1:8">
      <c r="A1103" s="316" t="s">
        <v>1198</v>
      </c>
      <c r="B1103" s="317" t="s">
        <v>207</v>
      </c>
      <c r="C1103" s="317" t="s">
        <v>1229</v>
      </c>
      <c r="D1103" s="317" t="s">
        <v>760</v>
      </c>
      <c r="E1103" s="317" t="s">
        <v>1199</v>
      </c>
      <c r="F1103" s="312">
        <v>525096</v>
      </c>
      <c r="G1103" s="312">
        <v>525096</v>
      </c>
      <c r="H1103" s="123" t="str">
        <f t="shared" si="17"/>
        <v>1101011004Г030610</v>
      </c>
    </row>
    <row r="1104" spans="1:8" ht="76.5">
      <c r="A1104" s="316" t="s">
        <v>347</v>
      </c>
      <c r="B1104" s="317" t="s">
        <v>207</v>
      </c>
      <c r="C1104" s="317" t="s">
        <v>1229</v>
      </c>
      <c r="D1104" s="317" t="s">
        <v>760</v>
      </c>
      <c r="E1104" s="317" t="s">
        <v>348</v>
      </c>
      <c r="F1104" s="312">
        <v>525096</v>
      </c>
      <c r="G1104" s="312">
        <v>525096</v>
      </c>
      <c r="H1104" s="123" t="str">
        <f t="shared" si="17"/>
        <v>1101011004Г030611</v>
      </c>
    </row>
    <row r="1105" spans="1:8" ht="127.5">
      <c r="A1105" s="316" t="s">
        <v>966</v>
      </c>
      <c r="B1105" s="317" t="s">
        <v>207</v>
      </c>
      <c r="C1105" s="317" t="s">
        <v>1229</v>
      </c>
      <c r="D1105" s="317" t="s">
        <v>967</v>
      </c>
      <c r="E1105" s="317" t="s">
        <v>1173</v>
      </c>
      <c r="F1105" s="312">
        <v>45760</v>
      </c>
      <c r="G1105" s="312">
        <v>45760</v>
      </c>
      <c r="H1105" s="123" t="str">
        <f t="shared" si="17"/>
        <v>1101011004Э030</v>
      </c>
    </row>
    <row r="1106" spans="1:8" ht="38.25">
      <c r="A1106" s="316" t="s">
        <v>1327</v>
      </c>
      <c r="B1106" s="317" t="s">
        <v>207</v>
      </c>
      <c r="C1106" s="317" t="s">
        <v>1229</v>
      </c>
      <c r="D1106" s="317" t="s">
        <v>967</v>
      </c>
      <c r="E1106" s="317" t="s">
        <v>1328</v>
      </c>
      <c r="F1106" s="312">
        <v>45760</v>
      </c>
      <c r="G1106" s="312">
        <v>45760</v>
      </c>
      <c r="H1106" s="123" t="str">
        <f t="shared" si="17"/>
        <v>1101011004Э030600</v>
      </c>
    </row>
    <row r="1107" spans="1:8">
      <c r="A1107" s="316" t="s">
        <v>1198</v>
      </c>
      <c r="B1107" s="317" t="s">
        <v>207</v>
      </c>
      <c r="C1107" s="317" t="s">
        <v>1229</v>
      </c>
      <c r="D1107" s="317" t="s">
        <v>967</v>
      </c>
      <c r="E1107" s="317" t="s">
        <v>1199</v>
      </c>
      <c r="F1107" s="312">
        <v>45760</v>
      </c>
      <c r="G1107" s="312">
        <v>45760</v>
      </c>
      <c r="H1107" s="123" t="str">
        <f t="shared" si="17"/>
        <v>1101011004Э030610</v>
      </c>
    </row>
    <row r="1108" spans="1:8" ht="76.5">
      <c r="A1108" s="316" t="s">
        <v>347</v>
      </c>
      <c r="B1108" s="317" t="s">
        <v>207</v>
      </c>
      <c r="C1108" s="317" t="s">
        <v>1229</v>
      </c>
      <c r="D1108" s="317" t="s">
        <v>967</v>
      </c>
      <c r="E1108" s="317" t="s">
        <v>348</v>
      </c>
      <c r="F1108" s="312">
        <v>45760</v>
      </c>
      <c r="G1108" s="312">
        <v>45760</v>
      </c>
      <c r="H1108" s="123" t="str">
        <f t="shared" si="17"/>
        <v>1101011004Э030611</v>
      </c>
    </row>
    <row r="1109" spans="1:8" ht="25.5">
      <c r="A1109" s="316" t="s">
        <v>1169</v>
      </c>
      <c r="B1109" s="317" t="s">
        <v>952</v>
      </c>
      <c r="C1109" s="317" t="s">
        <v>1173</v>
      </c>
      <c r="D1109" s="317" t="s">
        <v>1173</v>
      </c>
      <c r="E1109" s="317" t="s">
        <v>1173</v>
      </c>
      <c r="F1109" s="312">
        <v>31928800</v>
      </c>
      <c r="G1109" s="312">
        <v>31928800</v>
      </c>
      <c r="H1109" s="123" t="str">
        <f t="shared" si="17"/>
        <v/>
      </c>
    </row>
    <row r="1110" spans="1:8" ht="38.25">
      <c r="A1110" s="316" t="s">
        <v>238</v>
      </c>
      <c r="B1110" s="317" t="s">
        <v>952</v>
      </c>
      <c r="C1110" s="317" t="s">
        <v>1137</v>
      </c>
      <c r="D1110" s="317" t="s">
        <v>1173</v>
      </c>
      <c r="E1110" s="317" t="s">
        <v>1173</v>
      </c>
      <c r="F1110" s="312">
        <v>25777760</v>
      </c>
      <c r="G1110" s="312">
        <v>25777760</v>
      </c>
      <c r="H1110" s="123" t="str">
        <f t="shared" si="17"/>
        <v>0300</v>
      </c>
    </row>
    <row r="1111" spans="1:8" ht="51">
      <c r="A1111" s="316" t="s">
        <v>1705</v>
      </c>
      <c r="B1111" s="317" t="s">
        <v>952</v>
      </c>
      <c r="C1111" s="317" t="s">
        <v>345</v>
      </c>
      <c r="D1111" s="317" t="s">
        <v>1173</v>
      </c>
      <c r="E1111" s="317" t="s">
        <v>1173</v>
      </c>
      <c r="F1111" s="312">
        <v>25777760</v>
      </c>
      <c r="G1111" s="312">
        <v>25777760</v>
      </c>
      <c r="H1111" s="123" t="str">
        <f t="shared" si="17"/>
        <v>0310</v>
      </c>
    </row>
    <row r="1112" spans="1:8" ht="63.75">
      <c r="A1112" s="316" t="s">
        <v>1751</v>
      </c>
      <c r="B1112" s="317" t="s">
        <v>952</v>
      </c>
      <c r="C1112" s="317" t="s">
        <v>345</v>
      </c>
      <c r="D1112" s="317" t="s">
        <v>978</v>
      </c>
      <c r="E1112" s="317" t="s">
        <v>1173</v>
      </c>
      <c r="F1112" s="312">
        <v>25777760</v>
      </c>
      <c r="G1112" s="312">
        <v>25777760</v>
      </c>
      <c r="H1112" s="123" t="str">
        <f t="shared" si="17"/>
        <v>03100400000000</v>
      </c>
    </row>
    <row r="1113" spans="1:8" ht="25.5">
      <c r="A1113" s="316" t="s">
        <v>459</v>
      </c>
      <c r="B1113" s="317" t="s">
        <v>952</v>
      </c>
      <c r="C1113" s="317" t="s">
        <v>345</v>
      </c>
      <c r="D1113" s="317" t="s">
        <v>980</v>
      </c>
      <c r="E1113" s="317" t="s">
        <v>1173</v>
      </c>
      <c r="F1113" s="312">
        <v>25777760</v>
      </c>
      <c r="G1113" s="312">
        <v>25777760</v>
      </c>
      <c r="H1113" s="123" t="str">
        <f t="shared" si="17"/>
        <v>03100420000000</v>
      </c>
    </row>
    <row r="1114" spans="1:8" ht="153">
      <c r="A1114" s="316" t="s">
        <v>346</v>
      </c>
      <c r="B1114" s="317" t="s">
        <v>952</v>
      </c>
      <c r="C1114" s="317" t="s">
        <v>345</v>
      </c>
      <c r="D1114" s="317" t="s">
        <v>658</v>
      </c>
      <c r="E1114" s="317" t="s">
        <v>1173</v>
      </c>
      <c r="F1114" s="312">
        <v>21102512</v>
      </c>
      <c r="G1114" s="312">
        <v>21102512</v>
      </c>
      <c r="H1114" s="123" t="str">
        <f t="shared" si="17"/>
        <v>03100420040010</v>
      </c>
    </row>
    <row r="1115" spans="1:8" ht="76.5">
      <c r="A1115" s="316" t="s">
        <v>1318</v>
      </c>
      <c r="B1115" s="317" t="s">
        <v>952</v>
      </c>
      <c r="C1115" s="317" t="s">
        <v>345</v>
      </c>
      <c r="D1115" s="317" t="s">
        <v>658</v>
      </c>
      <c r="E1115" s="317" t="s">
        <v>273</v>
      </c>
      <c r="F1115" s="312">
        <v>19164242</v>
      </c>
      <c r="G1115" s="312">
        <v>19164242</v>
      </c>
      <c r="H1115" s="123" t="str">
        <f t="shared" si="17"/>
        <v>03100420040010100</v>
      </c>
    </row>
    <row r="1116" spans="1:8" ht="25.5">
      <c r="A1116" s="316" t="s">
        <v>1190</v>
      </c>
      <c r="B1116" s="317" t="s">
        <v>952</v>
      </c>
      <c r="C1116" s="317" t="s">
        <v>345</v>
      </c>
      <c r="D1116" s="317" t="s">
        <v>658</v>
      </c>
      <c r="E1116" s="317" t="s">
        <v>133</v>
      </c>
      <c r="F1116" s="312">
        <v>19164242</v>
      </c>
      <c r="G1116" s="312">
        <v>19164242</v>
      </c>
      <c r="H1116" s="123" t="str">
        <f t="shared" si="17"/>
        <v>03100420040010110</v>
      </c>
    </row>
    <row r="1117" spans="1:8">
      <c r="A1117" s="316" t="s">
        <v>1138</v>
      </c>
      <c r="B1117" s="317" t="s">
        <v>952</v>
      </c>
      <c r="C1117" s="317" t="s">
        <v>345</v>
      </c>
      <c r="D1117" s="317" t="s">
        <v>658</v>
      </c>
      <c r="E1117" s="317" t="s">
        <v>342</v>
      </c>
      <c r="F1117" s="312">
        <v>14701000</v>
      </c>
      <c r="G1117" s="312">
        <v>14701000</v>
      </c>
      <c r="H1117" s="123" t="str">
        <f t="shared" si="17"/>
        <v>03100420040010111</v>
      </c>
    </row>
    <row r="1118" spans="1:8" ht="25.5">
      <c r="A1118" s="316" t="s">
        <v>1147</v>
      </c>
      <c r="B1118" s="317" t="s">
        <v>952</v>
      </c>
      <c r="C1118" s="317" t="s">
        <v>345</v>
      </c>
      <c r="D1118" s="317" t="s">
        <v>658</v>
      </c>
      <c r="E1118" s="317" t="s">
        <v>391</v>
      </c>
      <c r="F1118" s="312">
        <v>32600</v>
      </c>
      <c r="G1118" s="312">
        <v>32600</v>
      </c>
      <c r="H1118" s="123" t="str">
        <f t="shared" si="17"/>
        <v>03100420040010112</v>
      </c>
    </row>
    <row r="1119" spans="1:8" ht="51">
      <c r="A1119" s="316" t="s">
        <v>1139</v>
      </c>
      <c r="B1119" s="317" t="s">
        <v>952</v>
      </c>
      <c r="C1119" s="317" t="s">
        <v>345</v>
      </c>
      <c r="D1119" s="317" t="s">
        <v>658</v>
      </c>
      <c r="E1119" s="317" t="s">
        <v>1056</v>
      </c>
      <c r="F1119" s="312">
        <v>4430642</v>
      </c>
      <c r="G1119" s="312">
        <v>4430642</v>
      </c>
      <c r="H1119" s="123" t="str">
        <f t="shared" si="17"/>
        <v>03100420040010119</v>
      </c>
    </row>
    <row r="1120" spans="1:8" ht="38.25">
      <c r="A1120" s="316" t="s">
        <v>1319</v>
      </c>
      <c r="B1120" s="317" t="s">
        <v>952</v>
      </c>
      <c r="C1120" s="317" t="s">
        <v>345</v>
      </c>
      <c r="D1120" s="317" t="s">
        <v>658</v>
      </c>
      <c r="E1120" s="317" t="s">
        <v>1320</v>
      </c>
      <c r="F1120" s="312">
        <v>1938270</v>
      </c>
      <c r="G1120" s="312">
        <v>1938270</v>
      </c>
      <c r="H1120" s="123" t="str">
        <f t="shared" si="17"/>
        <v>03100420040010200</v>
      </c>
    </row>
    <row r="1121" spans="1:8" ht="38.25">
      <c r="A1121" s="316" t="s">
        <v>1196</v>
      </c>
      <c r="B1121" s="317" t="s">
        <v>952</v>
      </c>
      <c r="C1121" s="317" t="s">
        <v>345</v>
      </c>
      <c r="D1121" s="317" t="s">
        <v>658</v>
      </c>
      <c r="E1121" s="317" t="s">
        <v>1197</v>
      </c>
      <c r="F1121" s="312">
        <v>1938270</v>
      </c>
      <c r="G1121" s="312">
        <v>1938270</v>
      </c>
      <c r="H1121" s="123" t="str">
        <f t="shared" si="17"/>
        <v>03100420040010240</v>
      </c>
    </row>
    <row r="1122" spans="1:8">
      <c r="A1122" s="316" t="s">
        <v>1223</v>
      </c>
      <c r="B1122" s="317" t="s">
        <v>952</v>
      </c>
      <c r="C1122" s="317" t="s">
        <v>345</v>
      </c>
      <c r="D1122" s="317" t="s">
        <v>658</v>
      </c>
      <c r="E1122" s="317" t="s">
        <v>329</v>
      </c>
      <c r="F1122" s="312">
        <v>1938270</v>
      </c>
      <c r="G1122" s="312">
        <v>1938270</v>
      </c>
      <c r="H1122" s="123" t="str">
        <f t="shared" si="17"/>
        <v>03100420040010244</v>
      </c>
    </row>
    <row r="1123" spans="1:8" ht="165.75">
      <c r="A1123" s="316" t="s">
        <v>1363</v>
      </c>
      <c r="B1123" s="317" t="s">
        <v>952</v>
      </c>
      <c r="C1123" s="317" t="s">
        <v>345</v>
      </c>
      <c r="D1123" s="317" t="s">
        <v>1364</v>
      </c>
      <c r="E1123" s="317" t="s">
        <v>1173</v>
      </c>
      <c r="F1123" s="312">
        <v>1413106</v>
      </c>
      <c r="G1123" s="312">
        <v>1413106</v>
      </c>
      <c r="H1123" s="123" t="str">
        <f t="shared" si="17"/>
        <v>03100420041010</v>
      </c>
    </row>
    <row r="1124" spans="1:8" ht="76.5">
      <c r="A1124" s="316" t="s">
        <v>1318</v>
      </c>
      <c r="B1124" s="317" t="s">
        <v>952</v>
      </c>
      <c r="C1124" s="317" t="s">
        <v>345</v>
      </c>
      <c r="D1124" s="317" t="s">
        <v>1364</v>
      </c>
      <c r="E1124" s="317" t="s">
        <v>273</v>
      </c>
      <c r="F1124" s="312">
        <v>1413106</v>
      </c>
      <c r="G1124" s="312">
        <v>1413106</v>
      </c>
      <c r="H1124" s="123" t="str">
        <f t="shared" si="17"/>
        <v>03100420041010100</v>
      </c>
    </row>
    <row r="1125" spans="1:8" ht="25.5">
      <c r="A1125" s="316" t="s">
        <v>1190</v>
      </c>
      <c r="B1125" s="317" t="s">
        <v>952</v>
      </c>
      <c r="C1125" s="317" t="s">
        <v>345</v>
      </c>
      <c r="D1125" s="317" t="s">
        <v>1364</v>
      </c>
      <c r="E1125" s="317" t="s">
        <v>133</v>
      </c>
      <c r="F1125" s="312">
        <v>1413106</v>
      </c>
      <c r="G1125" s="312">
        <v>1413106</v>
      </c>
      <c r="H1125" s="123" t="str">
        <f t="shared" si="17"/>
        <v>03100420041010110</v>
      </c>
    </row>
    <row r="1126" spans="1:8">
      <c r="A1126" s="316" t="s">
        <v>1138</v>
      </c>
      <c r="B1126" s="317" t="s">
        <v>952</v>
      </c>
      <c r="C1126" s="317" t="s">
        <v>345</v>
      </c>
      <c r="D1126" s="317" t="s">
        <v>1364</v>
      </c>
      <c r="E1126" s="317" t="s">
        <v>342</v>
      </c>
      <c r="F1126" s="312">
        <v>1085335</v>
      </c>
      <c r="G1126" s="312">
        <v>1085335</v>
      </c>
      <c r="H1126" s="123" t="str">
        <f t="shared" ref="H1126:H1189" si="18">CONCATENATE(C1126,,D1126,E1126)</f>
        <v>03100420041010111</v>
      </c>
    </row>
    <row r="1127" spans="1:8" ht="51">
      <c r="A1127" s="316" t="s">
        <v>1139</v>
      </c>
      <c r="B1127" s="317" t="s">
        <v>952</v>
      </c>
      <c r="C1127" s="317" t="s">
        <v>345</v>
      </c>
      <c r="D1127" s="317" t="s">
        <v>1364</v>
      </c>
      <c r="E1127" s="317" t="s">
        <v>1056</v>
      </c>
      <c r="F1127" s="312">
        <v>327771</v>
      </c>
      <c r="G1127" s="312">
        <v>327771</v>
      </c>
      <c r="H1127" s="123" t="str">
        <f t="shared" si="18"/>
        <v>03100420041010119</v>
      </c>
    </row>
    <row r="1128" spans="1:8" ht="153">
      <c r="A1128" s="316" t="s">
        <v>1365</v>
      </c>
      <c r="B1128" s="317" t="s">
        <v>952</v>
      </c>
      <c r="C1128" s="317" t="s">
        <v>345</v>
      </c>
      <c r="D1128" s="317" t="s">
        <v>1366</v>
      </c>
      <c r="E1128" s="317" t="s">
        <v>1173</v>
      </c>
      <c r="F1128" s="312">
        <v>163657</v>
      </c>
      <c r="G1128" s="312">
        <v>163657</v>
      </c>
      <c r="H1128" s="123" t="str">
        <f t="shared" si="18"/>
        <v>03100420047010</v>
      </c>
    </row>
    <row r="1129" spans="1:8" ht="76.5">
      <c r="A1129" s="316" t="s">
        <v>1318</v>
      </c>
      <c r="B1129" s="317" t="s">
        <v>952</v>
      </c>
      <c r="C1129" s="317" t="s">
        <v>345</v>
      </c>
      <c r="D1129" s="317" t="s">
        <v>1366</v>
      </c>
      <c r="E1129" s="317" t="s">
        <v>273</v>
      </c>
      <c r="F1129" s="312">
        <v>163657</v>
      </c>
      <c r="G1129" s="312">
        <v>163657</v>
      </c>
      <c r="H1129" s="123" t="str">
        <f t="shared" si="18"/>
        <v>03100420047010100</v>
      </c>
    </row>
    <row r="1130" spans="1:8" ht="25.5">
      <c r="A1130" s="316" t="s">
        <v>1190</v>
      </c>
      <c r="B1130" s="317" t="s">
        <v>952</v>
      </c>
      <c r="C1130" s="317" t="s">
        <v>345</v>
      </c>
      <c r="D1130" s="317" t="s">
        <v>1366</v>
      </c>
      <c r="E1130" s="317" t="s">
        <v>133</v>
      </c>
      <c r="F1130" s="312">
        <v>163657</v>
      </c>
      <c r="G1130" s="312">
        <v>163657</v>
      </c>
      <c r="H1130" s="123" t="str">
        <f t="shared" si="18"/>
        <v>03100420047010110</v>
      </c>
    </row>
    <row r="1131" spans="1:8" ht="25.5">
      <c r="A1131" s="316" t="s">
        <v>1147</v>
      </c>
      <c r="B1131" s="317" t="s">
        <v>952</v>
      </c>
      <c r="C1131" s="317" t="s">
        <v>345</v>
      </c>
      <c r="D1131" s="317" t="s">
        <v>1366</v>
      </c>
      <c r="E1131" s="317" t="s">
        <v>391</v>
      </c>
      <c r="F1131" s="312">
        <v>163657</v>
      </c>
      <c r="G1131" s="312">
        <v>163657</v>
      </c>
      <c r="H1131" s="123" t="str">
        <f t="shared" si="18"/>
        <v>03100420047010112</v>
      </c>
    </row>
    <row r="1132" spans="1:8" ht="165.75">
      <c r="A1132" s="316" t="s">
        <v>1748</v>
      </c>
      <c r="B1132" s="317" t="s">
        <v>952</v>
      </c>
      <c r="C1132" s="317" t="s">
        <v>345</v>
      </c>
      <c r="D1132" s="317" t="s">
        <v>660</v>
      </c>
      <c r="E1132" s="317" t="s">
        <v>1173</v>
      </c>
      <c r="F1132" s="312">
        <v>2136650</v>
      </c>
      <c r="G1132" s="312">
        <v>2136650</v>
      </c>
      <c r="H1132" s="123" t="str">
        <f t="shared" si="18"/>
        <v>0310042004Г010</v>
      </c>
    </row>
    <row r="1133" spans="1:8" ht="38.25">
      <c r="A1133" s="316" t="s">
        <v>1319</v>
      </c>
      <c r="B1133" s="317" t="s">
        <v>952</v>
      </c>
      <c r="C1133" s="317" t="s">
        <v>345</v>
      </c>
      <c r="D1133" s="317" t="s">
        <v>660</v>
      </c>
      <c r="E1133" s="317" t="s">
        <v>1320</v>
      </c>
      <c r="F1133" s="312">
        <v>2136650</v>
      </c>
      <c r="G1133" s="312">
        <v>2136650</v>
      </c>
      <c r="H1133" s="123" t="str">
        <f t="shared" si="18"/>
        <v>0310042004Г010200</v>
      </c>
    </row>
    <row r="1134" spans="1:8" ht="38.25">
      <c r="A1134" s="316" t="s">
        <v>1196</v>
      </c>
      <c r="B1134" s="317" t="s">
        <v>952</v>
      </c>
      <c r="C1134" s="317" t="s">
        <v>345</v>
      </c>
      <c r="D1134" s="317" t="s">
        <v>660</v>
      </c>
      <c r="E1134" s="317" t="s">
        <v>1197</v>
      </c>
      <c r="F1134" s="312">
        <v>2136650</v>
      </c>
      <c r="G1134" s="312">
        <v>2136650</v>
      </c>
      <c r="H1134" s="123" t="str">
        <f t="shared" si="18"/>
        <v>0310042004Г010240</v>
      </c>
    </row>
    <row r="1135" spans="1:8">
      <c r="A1135" s="316" t="s">
        <v>1223</v>
      </c>
      <c r="B1135" s="317" t="s">
        <v>952</v>
      </c>
      <c r="C1135" s="317" t="s">
        <v>345</v>
      </c>
      <c r="D1135" s="317" t="s">
        <v>660</v>
      </c>
      <c r="E1135" s="317" t="s">
        <v>329</v>
      </c>
      <c r="F1135" s="312">
        <v>7650</v>
      </c>
      <c r="G1135" s="312">
        <v>7650</v>
      </c>
      <c r="H1135" s="123" t="str">
        <f t="shared" si="18"/>
        <v>0310042004Г010244</v>
      </c>
    </row>
    <row r="1136" spans="1:8">
      <c r="A1136" s="316" t="s">
        <v>1699</v>
      </c>
      <c r="B1136" s="317" t="s">
        <v>952</v>
      </c>
      <c r="C1136" s="317" t="s">
        <v>345</v>
      </c>
      <c r="D1136" s="317" t="s">
        <v>660</v>
      </c>
      <c r="E1136" s="317" t="s">
        <v>1700</v>
      </c>
      <c r="F1136" s="312">
        <v>2129000</v>
      </c>
      <c r="G1136" s="312">
        <v>2129000</v>
      </c>
      <c r="H1136" s="123" t="str">
        <f t="shared" si="18"/>
        <v>0310042004Г010247</v>
      </c>
    </row>
    <row r="1137" spans="1:8" ht="178.5">
      <c r="A1137" s="316" t="s">
        <v>1828</v>
      </c>
      <c r="B1137" s="317" t="s">
        <v>952</v>
      </c>
      <c r="C1137" s="317" t="s">
        <v>345</v>
      </c>
      <c r="D1137" s="317" t="s">
        <v>1829</v>
      </c>
      <c r="E1137" s="317" t="s">
        <v>1173</v>
      </c>
      <c r="F1137" s="312">
        <v>40000</v>
      </c>
      <c r="G1137" s="312">
        <v>40000</v>
      </c>
      <c r="H1137" s="123" t="str">
        <f t="shared" si="18"/>
        <v>0310042004М010</v>
      </c>
    </row>
    <row r="1138" spans="1:8" ht="38.25">
      <c r="A1138" s="316" t="s">
        <v>1319</v>
      </c>
      <c r="B1138" s="317" t="s">
        <v>952</v>
      </c>
      <c r="C1138" s="317" t="s">
        <v>345</v>
      </c>
      <c r="D1138" s="317" t="s">
        <v>1829</v>
      </c>
      <c r="E1138" s="317" t="s">
        <v>1320</v>
      </c>
      <c r="F1138" s="312">
        <v>40000</v>
      </c>
      <c r="G1138" s="312">
        <v>40000</v>
      </c>
      <c r="H1138" s="123" t="str">
        <f t="shared" si="18"/>
        <v>0310042004М010200</v>
      </c>
    </row>
    <row r="1139" spans="1:8" ht="38.25">
      <c r="A1139" s="316" t="s">
        <v>1196</v>
      </c>
      <c r="B1139" s="317" t="s">
        <v>952</v>
      </c>
      <c r="C1139" s="317" t="s">
        <v>345</v>
      </c>
      <c r="D1139" s="317" t="s">
        <v>1829</v>
      </c>
      <c r="E1139" s="317" t="s">
        <v>1197</v>
      </c>
      <c r="F1139" s="312">
        <v>40000</v>
      </c>
      <c r="G1139" s="312">
        <v>40000</v>
      </c>
      <c r="H1139" s="123" t="str">
        <f t="shared" si="18"/>
        <v>0310042004М010240</v>
      </c>
    </row>
    <row r="1140" spans="1:8">
      <c r="A1140" s="316" t="s">
        <v>1223</v>
      </c>
      <c r="B1140" s="317" t="s">
        <v>952</v>
      </c>
      <c r="C1140" s="317" t="s">
        <v>345</v>
      </c>
      <c r="D1140" s="317" t="s">
        <v>1829</v>
      </c>
      <c r="E1140" s="317" t="s">
        <v>329</v>
      </c>
      <c r="F1140" s="312">
        <v>40000</v>
      </c>
      <c r="G1140" s="312">
        <v>40000</v>
      </c>
      <c r="H1140" s="123" t="str">
        <f t="shared" si="18"/>
        <v>0310042004М010244</v>
      </c>
    </row>
    <row r="1141" spans="1:8" ht="114.75">
      <c r="A1141" s="316" t="s">
        <v>1830</v>
      </c>
      <c r="B1141" s="317" t="s">
        <v>952</v>
      </c>
      <c r="C1141" s="317" t="s">
        <v>345</v>
      </c>
      <c r="D1141" s="317" t="s">
        <v>1831</v>
      </c>
      <c r="E1141" s="317" t="s">
        <v>1173</v>
      </c>
      <c r="F1141" s="312">
        <v>42000</v>
      </c>
      <c r="G1141" s="312">
        <v>42000</v>
      </c>
      <c r="H1141" s="123" t="str">
        <f t="shared" si="18"/>
        <v>0310042004Ф010</v>
      </c>
    </row>
    <row r="1142" spans="1:8" ht="38.25">
      <c r="A1142" s="316" t="s">
        <v>1319</v>
      </c>
      <c r="B1142" s="317" t="s">
        <v>952</v>
      </c>
      <c r="C1142" s="317" t="s">
        <v>345</v>
      </c>
      <c r="D1142" s="317" t="s">
        <v>1831</v>
      </c>
      <c r="E1142" s="317" t="s">
        <v>1320</v>
      </c>
      <c r="F1142" s="312">
        <v>42000</v>
      </c>
      <c r="G1142" s="312">
        <v>42000</v>
      </c>
      <c r="H1142" s="123" t="str">
        <f t="shared" si="18"/>
        <v>0310042004Ф010200</v>
      </c>
    </row>
    <row r="1143" spans="1:8" ht="38.25">
      <c r="A1143" s="316" t="s">
        <v>1196</v>
      </c>
      <c r="B1143" s="317" t="s">
        <v>952</v>
      </c>
      <c r="C1143" s="317" t="s">
        <v>345</v>
      </c>
      <c r="D1143" s="317" t="s">
        <v>1831</v>
      </c>
      <c r="E1143" s="317" t="s">
        <v>1197</v>
      </c>
      <c r="F1143" s="312">
        <v>42000</v>
      </c>
      <c r="G1143" s="312">
        <v>42000</v>
      </c>
      <c r="H1143" s="123" t="str">
        <f t="shared" si="18"/>
        <v>0310042004Ф010240</v>
      </c>
    </row>
    <row r="1144" spans="1:8">
      <c r="A1144" s="316" t="s">
        <v>1223</v>
      </c>
      <c r="B1144" s="317" t="s">
        <v>952</v>
      </c>
      <c r="C1144" s="317" t="s">
        <v>345</v>
      </c>
      <c r="D1144" s="317" t="s">
        <v>1831</v>
      </c>
      <c r="E1144" s="317" t="s">
        <v>329</v>
      </c>
      <c r="F1144" s="312">
        <v>42000</v>
      </c>
      <c r="G1144" s="312">
        <v>42000</v>
      </c>
      <c r="H1144" s="123" t="str">
        <f t="shared" si="18"/>
        <v>0310042004Ф010244</v>
      </c>
    </row>
    <row r="1145" spans="1:8" ht="153">
      <c r="A1145" s="316" t="s">
        <v>1367</v>
      </c>
      <c r="B1145" s="317" t="s">
        <v>952</v>
      </c>
      <c r="C1145" s="317" t="s">
        <v>345</v>
      </c>
      <c r="D1145" s="317" t="s">
        <v>1368</v>
      </c>
      <c r="E1145" s="317" t="s">
        <v>1173</v>
      </c>
      <c r="F1145" s="312">
        <v>879835</v>
      </c>
      <c r="G1145" s="312">
        <v>879835</v>
      </c>
      <c r="H1145" s="123" t="str">
        <f t="shared" si="18"/>
        <v>0310042004Э010</v>
      </c>
    </row>
    <row r="1146" spans="1:8" ht="38.25">
      <c r="A1146" s="316" t="s">
        <v>1319</v>
      </c>
      <c r="B1146" s="317" t="s">
        <v>952</v>
      </c>
      <c r="C1146" s="317" t="s">
        <v>345</v>
      </c>
      <c r="D1146" s="317" t="s">
        <v>1368</v>
      </c>
      <c r="E1146" s="317" t="s">
        <v>1320</v>
      </c>
      <c r="F1146" s="312">
        <v>879835</v>
      </c>
      <c r="G1146" s="312">
        <v>879835</v>
      </c>
      <c r="H1146" s="123" t="str">
        <f t="shared" si="18"/>
        <v>0310042004Э010200</v>
      </c>
    </row>
    <row r="1147" spans="1:8" ht="38.25">
      <c r="A1147" s="316" t="s">
        <v>1196</v>
      </c>
      <c r="B1147" s="317" t="s">
        <v>952</v>
      </c>
      <c r="C1147" s="317" t="s">
        <v>345</v>
      </c>
      <c r="D1147" s="317" t="s">
        <v>1368</v>
      </c>
      <c r="E1147" s="317" t="s">
        <v>1197</v>
      </c>
      <c r="F1147" s="312">
        <v>879835</v>
      </c>
      <c r="G1147" s="312">
        <v>879835</v>
      </c>
      <c r="H1147" s="123" t="str">
        <f t="shared" si="18"/>
        <v>0310042004Э010240</v>
      </c>
    </row>
    <row r="1148" spans="1:8">
      <c r="A1148" s="316" t="s">
        <v>1699</v>
      </c>
      <c r="B1148" s="317" t="s">
        <v>952</v>
      </c>
      <c r="C1148" s="317" t="s">
        <v>345</v>
      </c>
      <c r="D1148" s="317" t="s">
        <v>1368</v>
      </c>
      <c r="E1148" s="317" t="s">
        <v>1700</v>
      </c>
      <c r="F1148" s="312">
        <v>879835</v>
      </c>
      <c r="G1148" s="312">
        <v>879835</v>
      </c>
      <c r="H1148" s="123" t="str">
        <f t="shared" si="18"/>
        <v>0310042004Э010247</v>
      </c>
    </row>
    <row r="1149" spans="1:8" ht="25.5">
      <c r="A1149" s="316" t="s">
        <v>239</v>
      </c>
      <c r="B1149" s="317" t="s">
        <v>952</v>
      </c>
      <c r="C1149" s="317" t="s">
        <v>1141</v>
      </c>
      <c r="D1149" s="317" t="s">
        <v>1173</v>
      </c>
      <c r="E1149" s="317" t="s">
        <v>1173</v>
      </c>
      <c r="F1149" s="312">
        <v>6151040</v>
      </c>
      <c r="G1149" s="312">
        <v>6151040</v>
      </c>
      <c r="H1149" s="123" t="str">
        <f t="shared" si="18"/>
        <v>0500</v>
      </c>
    </row>
    <row r="1150" spans="1:8">
      <c r="A1150" s="316" t="s">
        <v>146</v>
      </c>
      <c r="B1150" s="317" t="s">
        <v>952</v>
      </c>
      <c r="C1150" s="317" t="s">
        <v>364</v>
      </c>
      <c r="D1150" s="317" t="s">
        <v>1173</v>
      </c>
      <c r="E1150" s="317" t="s">
        <v>1173</v>
      </c>
      <c r="F1150" s="312">
        <v>6151040</v>
      </c>
      <c r="G1150" s="312">
        <v>6151040</v>
      </c>
      <c r="H1150" s="123" t="str">
        <f t="shared" si="18"/>
        <v>0502</v>
      </c>
    </row>
    <row r="1151" spans="1:8" ht="63.75">
      <c r="A1151" s="316" t="s">
        <v>452</v>
      </c>
      <c r="B1151" s="317" t="s">
        <v>952</v>
      </c>
      <c r="C1151" s="317" t="s">
        <v>364</v>
      </c>
      <c r="D1151" s="317" t="s">
        <v>974</v>
      </c>
      <c r="E1151" s="317" t="s">
        <v>1173</v>
      </c>
      <c r="F1151" s="312">
        <v>6151040</v>
      </c>
      <c r="G1151" s="312">
        <v>6151040</v>
      </c>
      <c r="H1151" s="123" t="str">
        <f t="shared" si="18"/>
        <v>05020300000000</v>
      </c>
    </row>
    <row r="1152" spans="1:8" ht="51">
      <c r="A1152" s="316" t="s">
        <v>591</v>
      </c>
      <c r="B1152" s="317" t="s">
        <v>952</v>
      </c>
      <c r="C1152" s="317" t="s">
        <v>364</v>
      </c>
      <c r="D1152" s="317" t="s">
        <v>975</v>
      </c>
      <c r="E1152" s="317" t="s">
        <v>1173</v>
      </c>
      <c r="F1152" s="312">
        <v>6151040</v>
      </c>
      <c r="G1152" s="312">
        <v>6151040</v>
      </c>
      <c r="H1152" s="123" t="str">
        <f t="shared" si="18"/>
        <v>05020320000000</v>
      </c>
    </row>
    <row r="1153" spans="1:8" ht="140.25">
      <c r="A1153" s="316" t="s">
        <v>1161</v>
      </c>
      <c r="B1153" s="317" t="s">
        <v>952</v>
      </c>
      <c r="C1153" s="317" t="s">
        <v>364</v>
      </c>
      <c r="D1153" s="317" t="s">
        <v>679</v>
      </c>
      <c r="E1153" s="317" t="s">
        <v>1173</v>
      </c>
      <c r="F1153" s="312">
        <v>1429800</v>
      </c>
      <c r="G1153" s="312">
        <v>1429800</v>
      </c>
      <c r="H1153" s="123" t="str">
        <f t="shared" si="18"/>
        <v>05020320075700</v>
      </c>
    </row>
    <row r="1154" spans="1:8" ht="76.5">
      <c r="A1154" s="316" t="s">
        <v>1318</v>
      </c>
      <c r="B1154" s="317" t="s">
        <v>952</v>
      </c>
      <c r="C1154" s="317" t="s">
        <v>364</v>
      </c>
      <c r="D1154" s="317" t="s">
        <v>679</v>
      </c>
      <c r="E1154" s="317" t="s">
        <v>273</v>
      </c>
      <c r="F1154" s="312">
        <v>881193</v>
      </c>
      <c r="G1154" s="312">
        <v>881193</v>
      </c>
      <c r="H1154" s="123" t="str">
        <f t="shared" si="18"/>
        <v>05020320075700100</v>
      </c>
    </row>
    <row r="1155" spans="1:8" ht="25.5">
      <c r="A1155" s="316" t="s">
        <v>1190</v>
      </c>
      <c r="B1155" s="317" t="s">
        <v>952</v>
      </c>
      <c r="C1155" s="317" t="s">
        <v>364</v>
      </c>
      <c r="D1155" s="317" t="s">
        <v>679</v>
      </c>
      <c r="E1155" s="317" t="s">
        <v>133</v>
      </c>
      <c r="F1155" s="312">
        <v>881193</v>
      </c>
      <c r="G1155" s="312">
        <v>881193</v>
      </c>
      <c r="H1155" s="123" t="str">
        <f t="shared" si="18"/>
        <v>05020320075700110</v>
      </c>
    </row>
    <row r="1156" spans="1:8">
      <c r="A1156" s="316" t="s">
        <v>1138</v>
      </c>
      <c r="B1156" s="317" t="s">
        <v>952</v>
      </c>
      <c r="C1156" s="317" t="s">
        <v>364</v>
      </c>
      <c r="D1156" s="317" t="s">
        <v>679</v>
      </c>
      <c r="E1156" s="317" t="s">
        <v>342</v>
      </c>
      <c r="F1156" s="312">
        <v>676800</v>
      </c>
      <c r="G1156" s="312">
        <v>676800</v>
      </c>
      <c r="H1156" s="123" t="str">
        <f t="shared" si="18"/>
        <v>05020320075700111</v>
      </c>
    </row>
    <row r="1157" spans="1:8" ht="51">
      <c r="A1157" s="316" t="s">
        <v>1139</v>
      </c>
      <c r="B1157" s="317" t="s">
        <v>952</v>
      </c>
      <c r="C1157" s="317" t="s">
        <v>364</v>
      </c>
      <c r="D1157" s="317" t="s">
        <v>679</v>
      </c>
      <c r="E1157" s="317" t="s">
        <v>1056</v>
      </c>
      <c r="F1157" s="312">
        <v>204393</v>
      </c>
      <c r="G1157" s="312">
        <v>204393</v>
      </c>
      <c r="H1157" s="123" t="str">
        <f t="shared" si="18"/>
        <v>05020320075700119</v>
      </c>
    </row>
    <row r="1158" spans="1:8" ht="38.25">
      <c r="A1158" s="316" t="s">
        <v>1319</v>
      </c>
      <c r="B1158" s="317" t="s">
        <v>952</v>
      </c>
      <c r="C1158" s="317" t="s">
        <v>364</v>
      </c>
      <c r="D1158" s="317" t="s">
        <v>679</v>
      </c>
      <c r="E1158" s="317" t="s">
        <v>1320</v>
      </c>
      <c r="F1158" s="312">
        <v>548607</v>
      </c>
      <c r="G1158" s="312">
        <v>548607</v>
      </c>
      <c r="H1158" s="123" t="str">
        <f t="shared" si="18"/>
        <v>05020320075700200</v>
      </c>
    </row>
    <row r="1159" spans="1:8" ht="38.25">
      <c r="A1159" s="316" t="s">
        <v>1196</v>
      </c>
      <c r="B1159" s="317" t="s">
        <v>952</v>
      </c>
      <c r="C1159" s="317" t="s">
        <v>364</v>
      </c>
      <c r="D1159" s="317" t="s">
        <v>679</v>
      </c>
      <c r="E1159" s="317" t="s">
        <v>1197</v>
      </c>
      <c r="F1159" s="312">
        <v>548607</v>
      </c>
      <c r="G1159" s="312">
        <v>548607</v>
      </c>
      <c r="H1159" s="123" t="str">
        <f t="shared" si="18"/>
        <v>05020320075700240</v>
      </c>
    </row>
    <row r="1160" spans="1:8">
      <c r="A1160" s="316" t="s">
        <v>1223</v>
      </c>
      <c r="B1160" s="317" t="s">
        <v>952</v>
      </c>
      <c r="C1160" s="317" t="s">
        <v>364</v>
      </c>
      <c r="D1160" s="317" t="s">
        <v>679</v>
      </c>
      <c r="E1160" s="317" t="s">
        <v>329</v>
      </c>
      <c r="F1160" s="312">
        <v>548607</v>
      </c>
      <c r="G1160" s="312">
        <v>548607</v>
      </c>
      <c r="H1160" s="123" t="str">
        <f t="shared" si="18"/>
        <v>05020320075700244</v>
      </c>
    </row>
    <row r="1161" spans="1:8" ht="153">
      <c r="A1161" s="316" t="s">
        <v>1314</v>
      </c>
      <c r="B1161" s="317" t="s">
        <v>952</v>
      </c>
      <c r="C1161" s="317" t="s">
        <v>364</v>
      </c>
      <c r="D1161" s="317" t="s">
        <v>1315</v>
      </c>
      <c r="E1161" s="317" t="s">
        <v>1173</v>
      </c>
      <c r="F1161" s="312">
        <v>3870201</v>
      </c>
      <c r="G1161" s="312">
        <v>3870201</v>
      </c>
      <c r="H1161" s="123" t="str">
        <f t="shared" si="18"/>
        <v>05020320080090</v>
      </c>
    </row>
    <row r="1162" spans="1:8" ht="76.5">
      <c r="A1162" s="316" t="s">
        <v>1318</v>
      </c>
      <c r="B1162" s="317" t="s">
        <v>952</v>
      </c>
      <c r="C1162" s="317" t="s">
        <v>364</v>
      </c>
      <c r="D1162" s="317" t="s">
        <v>1315</v>
      </c>
      <c r="E1162" s="317" t="s">
        <v>273</v>
      </c>
      <c r="F1162" s="312">
        <v>2402551</v>
      </c>
      <c r="G1162" s="312">
        <v>2402551</v>
      </c>
      <c r="H1162" s="123" t="str">
        <f t="shared" si="18"/>
        <v>05020320080090100</v>
      </c>
    </row>
    <row r="1163" spans="1:8" ht="25.5">
      <c r="A1163" s="316" t="s">
        <v>1190</v>
      </c>
      <c r="B1163" s="317" t="s">
        <v>952</v>
      </c>
      <c r="C1163" s="317" t="s">
        <v>364</v>
      </c>
      <c r="D1163" s="317" t="s">
        <v>1315</v>
      </c>
      <c r="E1163" s="317" t="s">
        <v>133</v>
      </c>
      <c r="F1163" s="312">
        <v>2402551</v>
      </c>
      <c r="G1163" s="312">
        <v>2402551</v>
      </c>
      <c r="H1163" s="123" t="str">
        <f t="shared" si="18"/>
        <v>05020320080090110</v>
      </c>
    </row>
    <row r="1164" spans="1:8">
      <c r="A1164" s="316" t="s">
        <v>1138</v>
      </c>
      <c r="B1164" s="317" t="s">
        <v>952</v>
      </c>
      <c r="C1164" s="317" t="s">
        <v>364</v>
      </c>
      <c r="D1164" s="317" t="s">
        <v>1315</v>
      </c>
      <c r="E1164" s="317" t="s">
        <v>342</v>
      </c>
      <c r="F1164" s="312">
        <v>1838380</v>
      </c>
      <c r="G1164" s="312">
        <v>1838380</v>
      </c>
      <c r="H1164" s="123" t="str">
        <f t="shared" si="18"/>
        <v>05020320080090111</v>
      </c>
    </row>
    <row r="1165" spans="1:8" ht="25.5">
      <c r="A1165" s="316" t="s">
        <v>1147</v>
      </c>
      <c r="B1165" s="317" t="s">
        <v>952</v>
      </c>
      <c r="C1165" s="317" t="s">
        <v>364</v>
      </c>
      <c r="D1165" s="317" t="s">
        <v>1315</v>
      </c>
      <c r="E1165" s="317" t="s">
        <v>391</v>
      </c>
      <c r="F1165" s="312">
        <v>12000</v>
      </c>
      <c r="G1165" s="312">
        <v>12000</v>
      </c>
      <c r="H1165" s="123" t="str">
        <f t="shared" si="18"/>
        <v>05020320080090112</v>
      </c>
    </row>
    <row r="1166" spans="1:8" ht="51">
      <c r="A1166" s="316" t="s">
        <v>1139</v>
      </c>
      <c r="B1166" s="317" t="s">
        <v>952</v>
      </c>
      <c r="C1166" s="317" t="s">
        <v>364</v>
      </c>
      <c r="D1166" s="317" t="s">
        <v>1315</v>
      </c>
      <c r="E1166" s="317" t="s">
        <v>1056</v>
      </c>
      <c r="F1166" s="312">
        <v>552171</v>
      </c>
      <c r="G1166" s="312">
        <v>552171</v>
      </c>
      <c r="H1166" s="123" t="str">
        <f t="shared" si="18"/>
        <v>05020320080090119</v>
      </c>
    </row>
    <row r="1167" spans="1:8" ht="38.25">
      <c r="A1167" s="316" t="s">
        <v>1319</v>
      </c>
      <c r="B1167" s="317" t="s">
        <v>952</v>
      </c>
      <c r="C1167" s="317" t="s">
        <v>364</v>
      </c>
      <c r="D1167" s="317" t="s">
        <v>1315</v>
      </c>
      <c r="E1167" s="317" t="s">
        <v>1320</v>
      </c>
      <c r="F1167" s="312">
        <v>1467650</v>
      </c>
      <c r="G1167" s="312">
        <v>1467650</v>
      </c>
      <c r="H1167" s="123" t="str">
        <f t="shared" si="18"/>
        <v>05020320080090200</v>
      </c>
    </row>
    <row r="1168" spans="1:8" ht="38.25">
      <c r="A1168" s="316" t="s">
        <v>1196</v>
      </c>
      <c r="B1168" s="317" t="s">
        <v>952</v>
      </c>
      <c r="C1168" s="317" t="s">
        <v>364</v>
      </c>
      <c r="D1168" s="317" t="s">
        <v>1315</v>
      </c>
      <c r="E1168" s="317" t="s">
        <v>1197</v>
      </c>
      <c r="F1168" s="312">
        <v>1467650</v>
      </c>
      <c r="G1168" s="312">
        <v>1467650</v>
      </c>
      <c r="H1168" s="123" t="str">
        <f t="shared" si="18"/>
        <v>05020320080090240</v>
      </c>
    </row>
    <row r="1169" spans="1:8">
      <c r="A1169" s="316" t="s">
        <v>1223</v>
      </c>
      <c r="B1169" s="317" t="s">
        <v>952</v>
      </c>
      <c r="C1169" s="317" t="s">
        <v>364</v>
      </c>
      <c r="D1169" s="317" t="s">
        <v>1315</v>
      </c>
      <c r="E1169" s="317" t="s">
        <v>329</v>
      </c>
      <c r="F1169" s="312">
        <v>1467650</v>
      </c>
      <c r="G1169" s="312">
        <v>1467650</v>
      </c>
      <c r="H1169" s="123" t="str">
        <f t="shared" si="18"/>
        <v>05020320080090244</v>
      </c>
    </row>
    <row r="1170" spans="1:8" ht="216.75">
      <c r="A1170" s="316" t="s">
        <v>1369</v>
      </c>
      <c r="B1170" s="317" t="s">
        <v>952</v>
      </c>
      <c r="C1170" s="317" t="s">
        <v>364</v>
      </c>
      <c r="D1170" s="317" t="s">
        <v>1370</v>
      </c>
      <c r="E1170" s="317" t="s">
        <v>1173</v>
      </c>
      <c r="F1170" s="312">
        <v>282524</v>
      </c>
      <c r="G1170" s="312">
        <v>282524</v>
      </c>
      <c r="H1170" s="123" t="str">
        <f t="shared" si="18"/>
        <v>05020320081090</v>
      </c>
    </row>
    <row r="1171" spans="1:8" ht="76.5">
      <c r="A1171" s="316" t="s">
        <v>1318</v>
      </c>
      <c r="B1171" s="317" t="s">
        <v>952</v>
      </c>
      <c r="C1171" s="317" t="s">
        <v>364</v>
      </c>
      <c r="D1171" s="317" t="s">
        <v>1370</v>
      </c>
      <c r="E1171" s="317" t="s">
        <v>273</v>
      </c>
      <c r="F1171" s="312">
        <v>282524</v>
      </c>
      <c r="G1171" s="312">
        <v>282524</v>
      </c>
      <c r="H1171" s="123" t="str">
        <f t="shared" si="18"/>
        <v>05020320081090100</v>
      </c>
    </row>
    <row r="1172" spans="1:8" ht="25.5">
      <c r="A1172" s="316" t="s">
        <v>1190</v>
      </c>
      <c r="B1172" s="317" t="s">
        <v>952</v>
      </c>
      <c r="C1172" s="317" t="s">
        <v>364</v>
      </c>
      <c r="D1172" s="317" t="s">
        <v>1370</v>
      </c>
      <c r="E1172" s="317" t="s">
        <v>133</v>
      </c>
      <c r="F1172" s="312">
        <v>282524</v>
      </c>
      <c r="G1172" s="312">
        <v>282524</v>
      </c>
      <c r="H1172" s="123" t="str">
        <f t="shared" si="18"/>
        <v>05020320081090110</v>
      </c>
    </row>
    <row r="1173" spans="1:8">
      <c r="A1173" s="316" t="s">
        <v>1138</v>
      </c>
      <c r="B1173" s="317" t="s">
        <v>952</v>
      </c>
      <c r="C1173" s="317" t="s">
        <v>364</v>
      </c>
      <c r="D1173" s="317" t="s">
        <v>1370</v>
      </c>
      <c r="E1173" s="317" t="s">
        <v>342</v>
      </c>
      <c r="F1173" s="312">
        <v>216993</v>
      </c>
      <c r="G1173" s="312">
        <v>216993</v>
      </c>
      <c r="H1173" s="123" t="str">
        <f t="shared" si="18"/>
        <v>05020320081090111</v>
      </c>
    </row>
    <row r="1174" spans="1:8" ht="51">
      <c r="A1174" s="316" t="s">
        <v>1139</v>
      </c>
      <c r="B1174" s="317" t="s">
        <v>952</v>
      </c>
      <c r="C1174" s="317" t="s">
        <v>364</v>
      </c>
      <c r="D1174" s="317" t="s">
        <v>1370</v>
      </c>
      <c r="E1174" s="317" t="s">
        <v>1056</v>
      </c>
      <c r="F1174" s="312">
        <v>65531</v>
      </c>
      <c r="G1174" s="312">
        <v>65531</v>
      </c>
      <c r="H1174" s="123" t="str">
        <f t="shared" si="18"/>
        <v>05020320081090119</v>
      </c>
    </row>
    <row r="1175" spans="1:8" ht="178.5">
      <c r="A1175" s="316" t="s">
        <v>1735</v>
      </c>
      <c r="B1175" s="317" t="s">
        <v>952</v>
      </c>
      <c r="C1175" s="317" t="s">
        <v>364</v>
      </c>
      <c r="D1175" s="317" t="s">
        <v>1736</v>
      </c>
      <c r="E1175" s="317" t="s">
        <v>1173</v>
      </c>
      <c r="F1175" s="312">
        <v>40000</v>
      </c>
      <c r="G1175" s="312">
        <v>40000</v>
      </c>
      <c r="H1175" s="123" t="str">
        <f t="shared" si="18"/>
        <v>05020320087090</v>
      </c>
    </row>
    <row r="1176" spans="1:8" ht="76.5">
      <c r="A1176" s="316" t="s">
        <v>1318</v>
      </c>
      <c r="B1176" s="317" t="s">
        <v>952</v>
      </c>
      <c r="C1176" s="317" t="s">
        <v>364</v>
      </c>
      <c r="D1176" s="317" t="s">
        <v>1736</v>
      </c>
      <c r="E1176" s="317" t="s">
        <v>273</v>
      </c>
      <c r="F1176" s="312">
        <v>40000</v>
      </c>
      <c r="G1176" s="312">
        <v>40000</v>
      </c>
      <c r="H1176" s="123" t="str">
        <f t="shared" si="18"/>
        <v>05020320087090100</v>
      </c>
    </row>
    <row r="1177" spans="1:8" ht="25.5">
      <c r="A1177" s="316" t="s">
        <v>1190</v>
      </c>
      <c r="B1177" s="317" t="s">
        <v>952</v>
      </c>
      <c r="C1177" s="317" t="s">
        <v>364</v>
      </c>
      <c r="D1177" s="317" t="s">
        <v>1736</v>
      </c>
      <c r="E1177" s="317" t="s">
        <v>133</v>
      </c>
      <c r="F1177" s="312">
        <v>40000</v>
      </c>
      <c r="G1177" s="312">
        <v>40000</v>
      </c>
      <c r="H1177" s="123" t="str">
        <f t="shared" si="18"/>
        <v>05020320087090110</v>
      </c>
    </row>
    <row r="1178" spans="1:8" ht="25.5">
      <c r="A1178" s="316" t="s">
        <v>1147</v>
      </c>
      <c r="B1178" s="317" t="s">
        <v>952</v>
      </c>
      <c r="C1178" s="317" t="s">
        <v>364</v>
      </c>
      <c r="D1178" s="317" t="s">
        <v>1736</v>
      </c>
      <c r="E1178" s="317" t="s">
        <v>391</v>
      </c>
      <c r="F1178" s="312">
        <v>40000</v>
      </c>
      <c r="G1178" s="312">
        <v>40000</v>
      </c>
      <c r="H1178" s="123" t="str">
        <f t="shared" si="18"/>
        <v>05020320087090112</v>
      </c>
    </row>
    <row r="1179" spans="1:8" ht="165.75">
      <c r="A1179" s="316" t="s">
        <v>1316</v>
      </c>
      <c r="B1179" s="317" t="s">
        <v>952</v>
      </c>
      <c r="C1179" s="317" t="s">
        <v>364</v>
      </c>
      <c r="D1179" s="317" t="s">
        <v>1317</v>
      </c>
      <c r="E1179" s="317" t="s">
        <v>1173</v>
      </c>
      <c r="F1179" s="312">
        <v>528515</v>
      </c>
      <c r="G1179" s="312">
        <v>528515</v>
      </c>
      <c r="H1179" s="123" t="str">
        <f t="shared" si="18"/>
        <v>0502032008Г090</v>
      </c>
    </row>
    <row r="1180" spans="1:8" ht="38.25">
      <c r="A1180" s="316" t="s">
        <v>1319</v>
      </c>
      <c r="B1180" s="317" t="s">
        <v>952</v>
      </c>
      <c r="C1180" s="317" t="s">
        <v>364</v>
      </c>
      <c r="D1180" s="317" t="s">
        <v>1317</v>
      </c>
      <c r="E1180" s="317" t="s">
        <v>1320</v>
      </c>
      <c r="F1180" s="312">
        <v>528515</v>
      </c>
      <c r="G1180" s="312">
        <v>528515</v>
      </c>
      <c r="H1180" s="123" t="str">
        <f t="shared" si="18"/>
        <v>0502032008Г090200</v>
      </c>
    </row>
    <row r="1181" spans="1:8" ht="38.25">
      <c r="A1181" s="316" t="s">
        <v>1196</v>
      </c>
      <c r="B1181" s="317" t="s">
        <v>952</v>
      </c>
      <c r="C1181" s="317" t="s">
        <v>364</v>
      </c>
      <c r="D1181" s="317" t="s">
        <v>1317</v>
      </c>
      <c r="E1181" s="317" t="s">
        <v>1197</v>
      </c>
      <c r="F1181" s="312">
        <v>528515</v>
      </c>
      <c r="G1181" s="312">
        <v>528515</v>
      </c>
      <c r="H1181" s="123" t="str">
        <f t="shared" si="18"/>
        <v>0502032008Г090240</v>
      </c>
    </row>
    <row r="1182" spans="1:8">
      <c r="A1182" s="316" t="s">
        <v>1223</v>
      </c>
      <c r="B1182" s="317" t="s">
        <v>952</v>
      </c>
      <c r="C1182" s="317" t="s">
        <v>364</v>
      </c>
      <c r="D1182" s="317" t="s">
        <v>1317</v>
      </c>
      <c r="E1182" s="317" t="s">
        <v>329</v>
      </c>
      <c r="F1182" s="312">
        <v>528515</v>
      </c>
      <c r="G1182" s="312">
        <v>528515</v>
      </c>
      <c r="H1182" s="123" t="str">
        <f t="shared" si="18"/>
        <v>0502032008Г090244</v>
      </c>
    </row>
    <row r="1183" spans="1:8" ht="25.5">
      <c r="A1183" s="316" t="s">
        <v>35</v>
      </c>
      <c r="B1183" s="317" t="s">
        <v>208</v>
      </c>
      <c r="C1183" s="317" t="s">
        <v>1173</v>
      </c>
      <c r="D1183" s="317" t="s">
        <v>1173</v>
      </c>
      <c r="E1183" s="317" t="s">
        <v>1173</v>
      </c>
      <c r="F1183" s="312">
        <v>120699128</v>
      </c>
      <c r="G1183" s="312">
        <v>120883928</v>
      </c>
      <c r="H1183" s="123" t="str">
        <f t="shared" si="18"/>
        <v/>
      </c>
    </row>
    <row r="1184" spans="1:8">
      <c r="A1184" s="316" t="s">
        <v>234</v>
      </c>
      <c r="B1184" s="317" t="s">
        <v>208</v>
      </c>
      <c r="C1184" s="317" t="s">
        <v>1135</v>
      </c>
      <c r="D1184" s="317" t="s">
        <v>1173</v>
      </c>
      <c r="E1184" s="317" t="s">
        <v>1173</v>
      </c>
      <c r="F1184" s="312">
        <v>22599378</v>
      </c>
      <c r="G1184" s="312">
        <v>22599378</v>
      </c>
      <c r="H1184" s="123" t="str">
        <f t="shared" si="18"/>
        <v>0100</v>
      </c>
    </row>
    <row r="1185" spans="1:8" ht="51">
      <c r="A1185" s="316" t="s">
        <v>216</v>
      </c>
      <c r="B1185" s="317" t="s">
        <v>208</v>
      </c>
      <c r="C1185" s="317" t="s">
        <v>331</v>
      </c>
      <c r="D1185" s="317" t="s">
        <v>1173</v>
      </c>
      <c r="E1185" s="317" t="s">
        <v>1173</v>
      </c>
      <c r="F1185" s="312">
        <v>20196878</v>
      </c>
      <c r="G1185" s="312">
        <v>20196878</v>
      </c>
      <c r="H1185" s="123" t="str">
        <f t="shared" si="18"/>
        <v>0106</v>
      </c>
    </row>
    <row r="1186" spans="1:8" ht="38.25">
      <c r="A1186" s="316" t="s">
        <v>1371</v>
      </c>
      <c r="B1186" s="317" t="s">
        <v>208</v>
      </c>
      <c r="C1186" s="317" t="s">
        <v>331</v>
      </c>
      <c r="D1186" s="317" t="s">
        <v>999</v>
      </c>
      <c r="E1186" s="317" t="s">
        <v>1173</v>
      </c>
      <c r="F1186" s="312">
        <v>20196878</v>
      </c>
      <c r="G1186" s="312">
        <v>20196878</v>
      </c>
      <c r="H1186" s="123" t="str">
        <f t="shared" si="18"/>
        <v>01061100000000</v>
      </c>
    </row>
    <row r="1187" spans="1:8" ht="25.5">
      <c r="A1187" s="316" t="s">
        <v>492</v>
      </c>
      <c r="B1187" s="317" t="s">
        <v>208</v>
      </c>
      <c r="C1187" s="317" t="s">
        <v>331</v>
      </c>
      <c r="D1187" s="317" t="s">
        <v>1001</v>
      </c>
      <c r="E1187" s="317" t="s">
        <v>1173</v>
      </c>
      <c r="F1187" s="312">
        <v>20196878</v>
      </c>
      <c r="G1187" s="312">
        <v>20196878</v>
      </c>
      <c r="H1187" s="123" t="str">
        <f t="shared" si="18"/>
        <v>01061120000000</v>
      </c>
    </row>
    <row r="1188" spans="1:8" ht="89.25">
      <c r="A1188" s="316" t="s">
        <v>425</v>
      </c>
      <c r="B1188" s="317" t="s">
        <v>208</v>
      </c>
      <c r="C1188" s="317" t="s">
        <v>331</v>
      </c>
      <c r="D1188" s="317" t="s">
        <v>788</v>
      </c>
      <c r="E1188" s="317" t="s">
        <v>1173</v>
      </c>
      <c r="F1188" s="312">
        <v>15857762</v>
      </c>
      <c r="G1188" s="312">
        <v>15857762</v>
      </c>
      <c r="H1188" s="123" t="str">
        <f t="shared" si="18"/>
        <v>01061120060000</v>
      </c>
    </row>
    <row r="1189" spans="1:8" ht="76.5">
      <c r="A1189" s="316" t="s">
        <v>1318</v>
      </c>
      <c r="B1189" s="317" t="s">
        <v>208</v>
      </c>
      <c r="C1189" s="317" t="s">
        <v>331</v>
      </c>
      <c r="D1189" s="317" t="s">
        <v>788</v>
      </c>
      <c r="E1189" s="317" t="s">
        <v>273</v>
      </c>
      <c r="F1189" s="312">
        <v>14124968</v>
      </c>
      <c r="G1189" s="312">
        <v>14124968</v>
      </c>
      <c r="H1189" s="123" t="str">
        <f t="shared" si="18"/>
        <v>01061120060000100</v>
      </c>
    </row>
    <row r="1190" spans="1:8" ht="38.25">
      <c r="A1190" s="316" t="s">
        <v>1203</v>
      </c>
      <c r="B1190" s="317" t="s">
        <v>208</v>
      </c>
      <c r="C1190" s="317" t="s">
        <v>331</v>
      </c>
      <c r="D1190" s="317" t="s">
        <v>788</v>
      </c>
      <c r="E1190" s="317" t="s">
        <v>28</v>
      </c>
      <c r="F1190" s="312">
        <v>14124968</v>
      </c>
      <c r="G1190" s="312">
        <v>14124968</v>
      </c>
      <c r="H1190" s="123" t="str">
        <f t="shared" ref="H1190:H1253" si="19">CONCATENATE(C1190,,D1190,E1190)</f>
        <v>01061120060000120</v>
      </c>
    </row>
    <row r="1191" spans="1:8" ht="25.5">
      <c r="A1191" s="316" t="s">
        <v>953</v>
      </c>
      <c r="B1191" s="317" t="s">
        <v>208</v>
      </c>
      <c r="C1191" s="317" t="s">
        <v>331</v>
      </c>
      <c r="D1191" s="317" t="s">
        <v>788</v>
      </c>
      <c r="E1191" s="317" t="s">
        <v>324</v>
      </c>
      <c r="F1191" s="312">
        <v>10798209</v>
      </c>
      <c r="G1191" s="312">
        <v>10798209</v>
      </c>
      <c r="H1191" s="123" t="str">
        <f t="shared" si="19"/>
        <v>01061120060000121</v>
      </c>
    </row>
    <row r="1192" spans="1:8" ht="51">
      <c r="A1192" s="316" t="s">
        <v>325</v>
      </c>
      <c r="B1192" s="317" t="s">
        <v>208</v>
      </c>
      <c r="C1192" s="317" t="s">
        <v>331</v>
      </c>
      <c r="D1192" s="317" t="s">
        <v>788</v>
      </c>
      <c r="E1192" s="317" t="s">
        <v>326</v>
      </c>
      <c r="F1192" s="312">
        <v>65700</v>
      </c>
      <c r="G1192" s="312">
        <v>65700</v>
      </c>
      <c r="H1192" s="123" t="str">
        <f t="shared" si="19"/>
        <v>01061120060000122</v>
      </c>
    </row>
    <row r="1193" spans="1:8" ht="63.75">
      <c r="A1193" s="316" t="s">
        <v>1054</v>
      </c>
      <c r="B1193" s="317" t="s">
        <v>208</v>
      </c>
      <c r="C1193" s="317" t="s">
        <v>331</v>
      </c>
      <c r="D1193" s="317" t="s">
        <v>788</v>
      </c>
      <c r="E1193" s="317" t="s">
        <v>1055</v>
      </c>
      <c r="F1193" s="312">
        <v>3261059</v>
      </c>
      <c r="G1193" s="312">
        <v>3261059</v>
      </c>
      <c r="H1193" s="123" t="str">
        <f t="shared" si="19"/>
        <v>01061120060000129</v>
      </c>
    </row>
    <row r="1194" spans="1:8" ht="38.25">
      <c r="A1194" s="316" t="s">
        <v>1319</v>
      </c>
      <c r="B1194" s="317" t="s">
        <v>208</v>
      </c>
      <c r="C1194" s="317" t="s">
        <v>331</v>
      </c>
      <c r="D1194" s="317" t="s">
        <v>788</v>
      </c>
      <c r="E1194" s="317" t="s">
        <v>1320</v>
      </c>
      <c r="F1194" s="312">
        <v>1720294</v>
      </c>
      <c r="G1194" s="312">
        <v>1720294</v>
      </c>
      <c r="H1194" s="123" t="str">
        <f t="shared" si="19"/>
        <v>01061120060000200</v>
      </c>
    </row>
    <row r="1195" spans="1:8" ht="38.25">
      <c r="A1195" s="316" t="s">
        <v>1196</v>
      </c>
      <c r="B1195" s="317" t="s">
        <v>208</v>
      </c>
      <c r="C1195" s="317" t="s">
        <v>331</v>
      </c>
      <c r="D1195" s="317" t="s">
        <v>788</v>
      </c>
      <c r="E1195" s="317" t="s">
        <v>1197</v>
      </c>
      <c r="F1195" s="312">
        <v>1720294</v>
      </c>
      <c r="G1195" s="312">
        <v>1720294</v>
      </c>
      <c r="H1195" s="123" t="str">
        <f t="shared" si="19"/>
        <v>01061120060000240</v>
      </c>
    </row>
    <row r="1196" spans="1:8">
      <c r="A1196" s="316" t="s">
        <v>1223</v>
      </c>
      <c r="B1196" s="317" t="s">
        <v>208</v>
      </c>
      <c r="C1196" s="317" t="s">
        <v>331</v>
      </c>
      <c r="D1196" s="317" t="s">
        <v>788</v>
      </c>
      <c r="E1196" s="317" t="s">
        <v>329</v>
      </c>
      <c r="F1196" s="312">
        <v>1720294</v>
      </c>
      <c r="G1196" s="312">
        <v>1720294</v>
      </c>
      <c r="H1196" s="123" t="str">
        <f t="shared" si="19"/>
        <v>01061120060000244</v>
      </c>
    </row>
    <row r="1197" spans="1:8">
      <c r="A1197" s="316" t="s">
        <v>1321</v>
      </c>
      <c r="B1197" s="317" t="s">
        <v>208</v>
      </c>
      <c r="C1197" s="317" t="s">
        <v>331</v>
      </c>
      <c r="D1197" s="317" t="s">
        <v>788</v>
      </c>
      <c r="E1197" s="317" t="s">
        <v>1322</v>
      </c>
      <c r="F1197" s="312">
        <v>12500</v>
      </c>
      <c r="G1197" s="312">
        <v>12500</v>
      </c>
      <c r="H1197" s="123" t="str">
        <f t="shared" si="19"/>
        <v>01061120060000800</v>
      </c>
    </row>
    <row r="1198" spans="1:8">
      <c r="A1198" s="316" t="s">
        <v>1201</v>
      </c>
      <c r="B1198" s="317" t="s">
        <v>208</v>
      </c>
      <c r="C1198" s="317" t="s">
        <v>331</v>
      </c>
      <c r="D1198" s="317" t="s">
        <v>788</v>
      </c>
      <c r="E1198" s="317" t="s">
        <v>1202</v>
      </c>
      <c r="F1198" s="312">
        <v>12500</v>
      </c>
      <c r="G1198" s="312">
        <v>12500</v>
      </c>
      <c r="H1198" s="123" t="str">
        <f t="shared" si="19"/>
        <v>01061120060000850</v>
      </c>
    </row>
    <row r="1199" spans="1:8">
      <c r="A1199" s="316" t="s">
        <v>1057</v>
      </c>
      <c r="B1199" s="317" t="s">
        <v>208</v>
      </c>
      <c r="C1199" s="317" t="s">
        <v>331</v>
      </c>
      <c r="D1199" s="317" t="s">
        <v>788</v>
      </c>
      <c r="E1199" s="317" t="s">
        <v>1058</v>
      </c>
      <c r="F1199" s="312">
        <v>12500</v>
      </c>
      <c r="G1199" s="312">
        <v>12500</v>
      </c>
      <c r="H1199" s="123" t="str">
        <f t="shared" si="19"/>
        <v>01061120060000853</v>
      </c>
    </row>
    <row r="1200" spans="1:8" ht="127.5">
      <c r="A1200" s="316" t="s">
        <v>535</v>
      </c>
      <c r="B1200" s="317" t="s">
        <v>208</v>
      </c>
      <c r="C1200" s="317" t="s">
        <v>331</v>
      </c>
      <c r="D1200" s="317" t="s">
        <v>789</v>
      </c>
      <c r="E1200" s="317" t="s">
        <v>1173</v>
      </c>
      <c r="F1200" s="312">
        <v>704000</v>
      </c>
      <c r="G1200" s="312">
        <v>704000</v>
      </c>
      <c r="H1200" s="123" t="str">
        <f t="shared" si="19"/>
        <v>01061120061000</v>
      </c>
    </row>
    <row r="1201" spans="1:8" ht="76.5">
      <c r="A1201" s="316" t="s">
        <v>1318</v>
      </c>
      <c r="B1201" s="317" t="s">
        <v>208</v>
      </c>
      <c r="C1201" s="317" t="s">
        <v>331</v>
      </c>
      <c r="D1201" s="317" t="s">
        <v>789</v>
      </c>
      <c r="E1201" s="317" t="s">
        <v>273</v>
      </c>
      <c r="F1201" s="312">
        <v>704000</v>
      </c>
      <c r="G1201" s="312">
        <v>704000</v>
      </c>
      <c r="H1201" s="123" t="str">
        <f t="shared" si="19"/>
        <v>01061120061000100</v>
      </c>
    </row>
    <row r="1202" spans="1:8" ht="38.25">
      <c r="A1202" s="316" t="s">
        <v>1203</v>
      </c>
      <c r="B1202" s="317" t="s">
        <v>208</v>
      </c>
      <c r="C1202" s="317" t="s">
        <v>331</v>
      </c>
      <c r="D1202" s="317" t="s">
        <v>789</v>
      </c>
      <c r="E1202" s="317" t="s">
        <v>28</v>
      </c>
      <c r="F1202" s="312">
        <v>704000</v>
      </c>
      <c r="G1202" s="312">
        <v>704000</v>
      </c>
      <c r="H1202" s="123" t="str">
        <f t="shared" si="19"/>
        <v>01061120061000120</v>
      </c>
    </row>
    <row r="1203" spans="1:8" ht="25.5">
      <c r="A1203" s="316" t="s">
        <v>953</v>
      </c>
      <c r="B1203" s="317" t="s">
        <v>208</v>
      </c>
      <c r="C1203" s="317" t="s">
        <v>331</v>
      </c>
      <c r="D1203" s="317" t="s">
        <v>789</v>
      </c>
      <c r="E1203" s="317" t="s">
        <v>324</v>
      </c>
      <c r="F1203" s="312">
        <v>540707</v>
      </c>
      <c r="G1203" s="312">
        <v>540707</v>
      </c>
      <c r="H1203" s="123" t="str">
        <f t="shared" si="19"/>
        <v>01061120061000121</v>
      </c>
    </row>
    <row r="1204" spans="1:8" ht="63.75">
      <c r="A1204" s="316" t="s">
        <v>1054</v>
      </c>
      <c r="B1204" s="317" t="s">
        <v>208</v>
      </c>
      <c r="C1204" s="317" t="s">
        <v>331</v>
      </c>
      <c r="D1204" s="317" t="s">
        <v>789</v>
      </c>
      <c r="E1204" s="317" t="s">
        <v>1055</v>
      </c>
      <c r="F1204" s="312">
        <v>163293</v>
      </c>
      <c r="G1204" s="312">
        <v>163293</v>
      </c>
      <c r="H1204" s="123" t="str">
        <f t="shared" si="19"/>
        <v>01061120061000129</v>
      </c>
    </row>
    <row r="1205" spans="1:8" ht="114.75">
      <c r="A1205" s="316" t="s">
        <v>585</v>
      </c>
      <c r="B1205" s="317" t="s">
        <v>208</v>
      </c>
      <c r="C1205" s="317" t="s">
        <v>331</v>
      </c>
      <c r="D1205" s="317" t="s">
        <v>790</v>
      </c>
      <c r="E1205" s="317" t="s">
        <v>1173</v>
      </c>
      <c r="F1205" s="312">
        <v>361140</v>
      </c>
      <c r="G1205" s="312">
        <v>361140</v>
      </c>
      <c r="H1205" s="123" t="str">
        <f t="shared" si="19"/>
        <v>01061120067000</v>
      </c>
    </row>
    <row r="1206" spans="1:8" ht="76.5">
      <c r="A1206" s="316" t="s">
        <v>1318</v>
      </c>
      <c r="B1206" s="317" t="s">
        <v>208</v>
      </c>
      <c r="C1206" s="317" t="s">
        <v>331</v>
      </c>
      <c r="D1206" s="317" t="s">
        <v>790</v>
      </c>
      <c r="E1206" s="317" t="s">
        <v>273</v>
      </c>
      <c r="F1206" s="312">
        <v>361140</v>
      </c>
      <c r="G1206" s="312">
        <v>361140</v>
      </c>
      <c r="H1206" s="123" t="str">
        <f t="shared" si="19"/>
        <v>01061120067000100</v>
      </c>
    </row>
    <row r="1207" spans="1:8" ht="38.25">
      <c r="A1207" s="316" t="s">
        <v>1203</v>
      </c>
      <c r="B1207" s="317" t="s">
        <v>208</v>
      </c>
      <c r="C1207" s="317" t="s">
        <v>331</v>
      </c>
      <c r="D1207" s="317" t="s">
        <v>790</v>
      </c>
      <c r="E1207" s="317" t="s">
        <v>28</v>
      </c>
      <c r="F1207" s="312">
        <v>361140</v>
      </c>
      <c r="G1207" s="312">
        <v>361140</v>
      </c>
      <c r="H1207" s="123" t="str">
        <f t="shared" si="19"/>
        <v>01061120067000120</v>
      </c>
    </row>
    <row r="1208" spans="1:8" ht="51">
      <c r="A1208" s="316" t="s">
        <v>325</v>
      </c>
      <c r="B1208" s="317" t="s">
        <v>208</v>
      </c>
      <c r="C1208" s="317" t="s">
        <v>331</v>
      </c>
      <c r="D1208" s="317" t="s">
        <v>790</v>
      </c>
      <c r="E1208" s="317" t="s">
        <v>326</v>
      </c>
      <c r="F1208" s="312">
        <v>361140</v>
      </c>
      <c r="G1208" s="312">
        <v>361140</v>
      </c>
      <c r="H1208" s="123" t="str">
        <f t="shared" si="19"/>
        <v>01061120067000122</v>
      </c>
    </row>
    <row r="1209" spans="1:8" ht="102">
      <c r="A1209" s="316" t="s">
        <v>933</v>
      </c>
      <c r="B1209" s="317" t="s">
        <v>208</v>
      </c>
      <c r="C1209" s="317" t="s">
        <v>331</v>
      </c>
      <c r="D1209" s="317" t="s">
        <v>932</v>
      </c>
      <c r="E1209" s="317" t="s">
        <v>1173</v>
      </c>
      <c r="F1209" s="312">
        <v>1682095</v>
      </c>
      <c r="G1209" s="312">
        <v>1682095</v>
      </c>
      <c r="H1209" s="123" t="str">
        <f t="shared" si="19"/>
        <v>0106112006Б000</v>
      </c>
    </row>
    <row r="1210" spans="1:8" ht="76.5">
      <c r="A1210" s="316" t="s">
        <v>1318</v>
      </c>
      <c r="B1210" s="317" t="s">
        <v>208</v>
      </c>
      <c r="C1210" s="317" t="s">
        <v>331</v>
      </c>
      <c r="D1210" s="317" t="s">
        <v>932</v>
      </c>
      <c r="E1210" s="317" t="s">
        <v>273</v>
      </c>
      <c r="F1210" s="312">
        <v>1682095</v>
      </c>
      <c r="G1210" s="312">
        <v>1682095</v>
      </c>
      <c r="H1210" s="123" t="str">
        <f t="shared" si="19"/>
        <v>0106112006Б000100</v>
      </c>
    </row>
    <row r="1211" spans="1:8" ht="38.25">
      <c r="A1211" s="316" t="s">
        <v>1203</v>
      </c>
      <c r="B1211" s="317" t="s">
        <v>208</v>
      </c>
      <c r="C1211" s="317" t="s">
        <v>331</v>
      </c>
      <c r="D1211" s="317" t="s">
        <v>932</v>
      </c>
      <c r="E1211" s="317" t="s">
        <v>28</v>
      </c>
      <c r="F1211" s="312">
        <v>1682095</v>
      </c>
      <c r="G1211" s="312">
        <v>1682095</v>
      </c>
      <c r="H1211" s="123" t="str">
        <f t="shared" si="19"/>
        <v>0106112006Б000120</v>
      </c>
    </row>
    <row r="1212" spans="1:8" ht="25.5">
      <c r="A1212" s="316" t="s">
        <v>953</v>
      </c>
      <c r="B1212" s="317" t="s">
        <v>208</v>
      </c>
      <c r="C1212" s="317" t="s">
        <v>331</v>
      </c>
      <c r="D1212" s="317" t="s">
        <v>932</v>
      </c>
      <c r="E1212" s="317" t="s">
        <v>324</v>
      </c>
      <c r="F1212" s="312">
        <v>1291932</v>
      </c>
      <c r="G1212" s="312">
        <v>1291932</v>
      </c>
      <c r="H1212" s="123" t="str">
        <f t="shared" si="19"/>
        <v>0106112006Б000121</v>
      </c>
    </row>
    <row r="1213" spans="1:8" ht="63.75">
      <c r="A1213" s="316" t="s">
        <v>1054</v>
      </c>
      <c r="B1213" s="317" t="s">
        <v>208</v>
      </c>
      <c r="C1213" s="317" t="s">
        <v>331</v>
      </c>
      <c r="D1213" s="317" t="s">
        <v>932</v>
      </c>
      <c r="E1213" s="317" t="s">
        <v>1055</v>
      </c>
      <c r="F1213" s="312">
        <v>390163</v>
      </c>
      <c r="G1213" s="312">
        <v>390163</v>
      </c>
      <c r="H1213" s="123" t="str">
        <f t="shared" si="19"/>
        <v>0106112006Б000129</v>
      </c>
    </row>
    <row r="1214" spans="1:8" ht="76.5">
      <c r="A1214" s="316" t="s">
        <v>586</v>
      </c>
      <c r="B1214" s="317" t="s">
        <v>208</v>
      </c>
      <c r="C1214" s="317" t="s">
        <v>331</v>
      </c>
      <c r="D1214" s="317" t="s">
        <v>791</v>
      </c>
      <c r="E1214" s="317" t="s">
        <v>1173</v>
      </c>
      <c r="F1214" s="312">
        <v>657685</v>
      </c>
      <c r="G1214" s="312">
        <v>657685</v>
      </c>
      <c r="H1214" s="123" t="str">
        <f t="shared" si="19"/>
        <v>0106112006Г000</v>
      </c>
    </row>
    <row r="1215" spans="1:8" ht="38.25">
      <c r="A1215" s="316" t="s">
        <v>1319</v>
      </c>
      <c r="B1215" s="317" t="s">
        <v>208</v>
      </c>
      <c r="C1215" s="317" t="s">
        <v>331</v>
      </c>
      <c r="D1215" s="317" t="s">
        <v>791</v>
      </c>
      <c r="E1215" s="317" t="s">
        <v>1320</v>
      </c>
      <c r="F1215" s="312">
        <v>657685</v>
      </c>
      <c r="G1215" s="312">
        <v>657685</v>
      </c>
      <c r="H1215" s="123" t="str">
        <f t="shared" si="19"/>
        <v>0106112006Г000200</v>
      </c>
    </row>
    <row r="1216" spans="1:8" ht="38.25">
      <c r="A1216" s="316" t="s">
        <v>1196</v>
      </c>
      <c r="B1216" s="317" t="s">
        <v>208</v>
      </c>
      <c r="C1216" s="317" t="s">
        <v>331</v>
      </c>
      <c r="D1216" s="317" t="s">
        <v>791</v>
      </c>
      <c r="E1216" s="317" t="s">
        <v>1197</v>
      </c>
      <c r="F1216" s="312">
        <v>657685</v>
      </c>
      <c r="G1216" s="312">
        <v>657685</v>
      </c>
      <c r="H1216" s="123" t="str">
        <f t="shared" si="19"/>
        <v>0106112006Г000240</v>
      </c>
    </row>
    <row r="1217" spans="1:8">
      <c r="A1217" s="316" t="s">
        <v>1223</v>
      </c>
      <c r="B1217" s="317" t="s">
        <v>208</v>
      </c>
      <c r="C1217" s="317" t="s">
        <v>331</v>
      </c>
      <c r="D1217" s="317" t="s">
        <v>791</v>
      </c>
      <c r="E1217" s="317" t="s">
        <v>329</v>
      </c>
      <c r="F1217" s="312">
        <v>13710</v>
      </c>
      <c r="G1217" s="312">
        <v>13710</v>
      </c>
      <c r="H1217" s="123" t="str">
        <f t="shared" si="19"/>
        <v>0106112006Г000244</v>
      </c>
    </row>
    <row r="1218" spans="1:8">
      <c r="A1218" s="316" t="s">
        <v>1699</v>
      </c>
      <c r="B1218" s="317" t="s">
        <v>208</v>
      </c>
      <c r="C1218" s="317" t="s">
        <v>331</v>
      </c>
      <c r="D1218" s="317" t="s">
        <v>791</v>
      </c>
      <c r="E1218" s="317" t="s">
        <v>1700</v>
      </c>
      <c r="F1218" s="312">
        <v>643975</v>
      </c>
      <c r="G1218" s="312">
        <v>643975</v>
      </c>
      <c r="H1218" s="123" t="str">
        <f t="shared" si="19"/>
        <v>0106112006Г000247</v>
      </c>
    </row>
    <row r="1219" spans="1:8" ht="89.25">
      <c r="A1219" s="316" t="s">
        <v>1855</v>
      </c>
      <c r="B1219" s="317" t="s">
        <v>208</v>
      </c>
      <c r="C1219" s="317" t="s">
        <v>331</v>
      </c>
      <c r="D1219" s="317" t="s">
        <v>1856</v>
      </c>
      <c r="E1219" s="317" t="s">
        <v>1173</v>
      </c>
      <c r="F1219" s="312">
        <v>5525</v>
      </c>
      <c r="G1219" s="312">
        <v>5525</v>
      </c>
      <c r="H1219" s="123" t="str">
        <f t="shared" si="19"/>
        <v>0106112006М000</v>
      </c>
    </row>
    <row r="1220" spans="1:8" ht="38.25">
      <c r="A1220" s="316" t="s">
        <v>1319</v>
      </c>
      <c r="B1220" s="317" t="s">
        <v>208</v>
      </c>
      <c r="C1220" s="317" t="s">
        <v>331</v>
      </c>
      <c r="D1220" s="317" t="s">
        <v>1856</v>
      </c>
      <c r="E1220" s="317" t="s">
        <v>1320</v>
      </c>
      <c r="F1220" s="312">
        <v>5525</v>
      </c>
      <c r="G1220" s="312">
        <v>5525</v>
      </c>
      <c r="H1220" s="123" t="str">
        <f t="shared" si="19"/>
        <v>0106112006М000200</v>
      </c>
    </row>
    <row r="1221" spans="1:8" ht="38.25">
      <c r="A1221" s="316" t="s">
        <v>1196</v>
      </c>
      <c r="B1221" s="317" t="s">
        <v>208</v>
      </c>
      <c r="C1221" s="317" t="s">
        <v>331</v>
      </c>
      <c r="D1221" s="317" t="s">
        <v>1856</v>
      </c>
      <c r="E1221" s="317" t="s">
        <v>1197</v>
      </c>
      <c r="F1221" s="312">
        <v>5525</v>
      </c>
      <c r="G1221" s="312">
        <v>5525</v>
      </c>
      <c r="H1221" s="123" t="str">
        <f t="shared" si="19"/>
        <v>0106112006М000240</v>
      </c>
    </row>
    <row r="1222" spans="1:8">
      <c r="A1222" s="316" t="s">
        <v>1223</v>
      </c>
      <c r="B1222" s="317" t="s">
        <v>208</v>
      </c>
      <c r="C1222" s="317" t="s">
        <v>331</v>
      </c>
      <c r="D1222" s="317" t="s">
        <v>1856</v>
      </c>
      <c r="E1222" s="317" t="s">
        <v>329</v>
      </c>
      <c r="F1222" s="312">
        <v>5525</v>
      </c>
      <c r="G1222" s="312">
        <v>5525</v>
      </c>
      <c r="H1222" s="123" t="str">
        <f t="shared" si="19"/>
        <v>0106112006М000244</v>
      </c>
    </row>
    <row r="1223" spans="1:8" ht="63.75">
      <c r="A1223" s="316" t="s">
        <v>969</v>
      </c>
      <c r="B1223" s="317" t="s">
        <v>208</v>
      </c>
      <c r="C1223" s="317" t="s">
        <v>331</v>
      </c>
      <c r="D1223" s="317" t="s">
        <v>970</v>
      </c>
      <c r="E1223" s="317" t="s">
        <v>1173</v>
      </c>
      <c r="F1223" s="312">
        <v>225348</v>
      </c>
      <c r="G1223" s="312">
        <v>225348</v>
      </c>
      <c r="H1223" s="123" t="str">
        <f t="shared" si="19"/>
        <v>0106112006Э000</v>
      </c>
    </row>
    <row r="1224" spans="1:8" ht="38.25">
      <c r="A1224" s="316" t="s">
        <v>1319</v>
      </c>
      <c r="B1224" s="317" t="s">
        <v>208</v>
      </c>
      <c r="C1224" s="317" t="s">
        <v>331</v>
      </c>
      <c r="D1224" s="317" t="s">
        <v>970</v>
      </c>
      <c r="E1224" s="317" t="s">
        <v>1320</v>
      </c>
      <c r="F1224" s="312">
        <v>225348</v>
      </c>
      <c r="G1224" s="312">
        <v>225348</v>
      </c>
      <c r="H1224" s="123" t="str">
        <f t="shared" si="19"/>
        <v>0106112006Э000200</v>
      </c>
    </row>
    <row r="1225" spans="1:8" ht="38.25">
      <c r="A1225" s="316" t="s">
        <v>1196</v>
      </c>
      <c r="B1225" s="317" t="s">
        <v>208</v>
      </c>
      <c r="C1225" s="317" t="s">
        <v>331</v>
      </c>
      <c r="D1225" s="317" t="s">
        <v>970</v>
      </c>
      <c r="E1225" s="317" t="s">
        <v>1197</v>
      </c>
      <c r="F1225" s="312">
        <v>225348</v>
      </c>
      <c r="G1225" s="312">
        <v>225348</v>
      </c>
      <c r="H1225" s="123" t="str">
        <f t="shared" si="19"/>
        <v>0106112006Э000240</v>
      </c>
    </row>
    <row r="1226" spans="1:8">
      <c r="A1226" s="316" t="s">
        <v>1699</v>
      </c>
      <c r="B1226" s="317" t="s">
        <v>208</v>
      </c>
      <c r="C1226" s="317" t="s">
        <v>331</v>
      </c>
      <c r="D1226" s="317" t="s">
        <v>970</v>
      </c>
      <c r="E1226" s="317" t="s">
        <v>1700</v>
      </c>
      <c r="F1226" s="312">
        <v>225348</v>
      </c>
      <c r="G1226" s="312">
        <v>225348</v>
      </c>
      <c r="H1226" s="123" t="str">
        <f t="shared" si="19"/>
        <v>0106112006Э000247</v>
      </c>
    </row>
    <row r="1227" spans="1:8" ht="89.25">
      <c r="A1227" s="316" t="s">
        <v>536</v>
      </c>
      <c r="B1227" s="317" t="s">
        <v>208</v>
      </c>
      <c r="C1227" s="317" t="s">
        <v>331</v>
      </c>
      <c r="D1227" s="317" t="s">
        <v>792</v>
      </c>
      <c r="E1227" s="317" t="s">
        <v>1173</v>
      </c>
      <c r="F1227" s="312">
        <v>680323</v>
      </c>
      <c r="G1227" s="312">
        <v>680323</v>
      </c>
      <c r="H1227" s="123" t="str">
        <f t="shared" si="19"/>
        <v>010611200Ч0060</v>
      </c>
    </row>
    <row r="1228" spans="1:8" ht="76.5">
      <c r="A1228" s="316" t="s">
        <v>1318</v>
      </c>
      <c r="B1228" s="317" t="s">
        <v>208</v>
      </c>
      <c r="C1228" s="317" t="s">
        <v>331</v>
      </c>
      <c r="D1228" s="317" t="s">
        <v>792</v>
      </c>
      <c r="E1228" s="317" t="s">
        <v>273</v>
      </c>
      <c r="F1228" s="312">
        <v>680323</v>
      </c>
      <c r="G1228" s="312">
        <v>680323</v>
      </c>
      <c r="H1228" s="123" t="str">
        <f t="shared" si="19"/>
        <v>010611200Ч0060100</v>
      </c>
    </row>
    <row r="1229" spans="1:8" ht="38.25">
      <c r="A1229" s="316" t="s">
        <v>1203</v>
      </c>
      <c r="B1229" s="317" t="s">
        <v>208</v>
      </c>
      <c r="C1229" s="317" t="s">
        <v>331</v>
      </c>
      <c r="D1229" s="317" t="s">
        <v>792</v>
      </c>
      <c r="E1229" s="317" t="s">
        <v>28</v>
      </c>
      <c r="F1229" s="312">
        <v>680323</v>
      </c>
      <c r="G1229" s="312">
        <v>680323</v>
      </c>
      <c r="H1229" s="123" t="str">
        <f t="shared" si="19"/>
        <v>010611200Ч0060120</v>
      </c>
    </row>
    <row r="1230" spans="1:8" ht="25.5">
      <c r="A1230" s="316" t="s">
        <v>953</v>
      </c>
      <c r="B1230" s="317" t="s">
        <v>208</v>
      </c>
      <c r="C1230" s="317" t="s">
        <v>331</v>
      </c>
      <c r="D1230" s="317" t="s">
        <v>792</v>
      </c>
      <c r="E1230" s="317" t="s">
        <v>324</v>
      </c>
      <c r="F1230" s="312">
        <v>522522</v>
      </c>
      <c r="G1230" s="312">
        <v>522522</v>
      </c>
      <c r="H1230" s="123" t="str">
        <f t="shared" si="19"/>
        <v>010611200Ч0060121</v>
      </c>
    </row>
    <row r="1231" spans="1:8" ht="63.75">
      <c r="A1231" s="316" t="s">
        <v>1054</v>
      </c>
      <c r="B1231" s="317" t="s">
        <v>208</v>
      </c>
      <c r="C1231" s="317" t="s">
        <v>331</v>
      </c>
      <c r="D1231" s="317" t="s">
        <v>792</v>
      </c>
      <c r="E1231" s="317" t="s">
        <v>1055</v>
      </c>
      <c r="F1231" s="312">
        <v>157801</v>
      </c>
      <c r="G1231" s="312">
        <v>157801</v>
      </c>
      <c r="H1231" s="123" t="str">
        <f t="shared" si="19"/>
        <v>010611200Ч0060129</v>
      </c>
    </row>
    <row r="1232" spans="1:8" ht="127.5">
      <c r="A1232" s="316" t="s">
        <v>1372</v>
      </c>
      <c r="B1232" s="317" t="s">
        <v>208</v>
      </c>
      <c r="C1232" s="317" t="s">
        <v>331</v>
      </c>
      <c r="D1232" s="317" t="s">
        <v>1373</v>
      </c>
      <c r="E1232" s="317" t="s">
        <v>1173</v>
      </c>
      <c r="F1232" s="312">
        <v>23000</v>
      </c>
      <c r="G1232" s="312">
        <v>23000</v>
      </c>
      <c r="H1232" s="123" t="str">
        <f t="shared" si="19"/>
        <v>010611200Ч0070</v>
      </c>
    </row>
    <row r="1233" spans="1:8" ht="38.25">
      <c r="A1233" s="316" t="s">
        <v>1319</v>
      </c>
      <c r="B1233" s="317" t="s">
        <v>208</v>
      </c>
      <c r="C1233" s="317" t="s">
        <v>331</v>
      </c>
      <c r="D1233" s="317" t="s">
        <v>1373</v>
      </c>
      <c r="E1233" s="317" t="s">
        <v>1320</v>
      </c>
      <c r="F1233" s="312">
        <v>23000</v>
      </c>
      <c r="G1233" s="312">
        <v>23000</v>
      </c>
      <c r="H1233" s="123" t="str">
        <f t="shared" si="19"/>
        <v>010611200Ч0070200</v>
      </c>
    </row>
    <row r="1234" spans="1:8" ht="38.25">
      <c r="A1234" s="316" t="s">
        <v>1196</v>
      </c>
      <c r="B1234" s="317" t="s">
        <v>208</v>
      </c>
      <c r="C1234" s="317" t="s">
        <v>331</v>
      </c>
      <c r="D1234" s="317" t="s">
        <v>1373</v>
      </c>
      <c r="E1234" s="317" t="s">
        <v>1197</v>
      </c>
      <c r="F1234" s="312">
        <v>23000</v>
      </c>
      <c r="G1234" s="312">
        <v>23000</v>
      </c>
      <c r="H1234" s="123" t="str">
        <f t="shared" si="19"/>
        <v>010611200Ч0070240</v>
      </c>
    </row>
    <row r="1235" spans="1:8">
      <c r="A1235" s="316" t="s">
        <v>1223</v>
      </c>
      <c r="B1235" s="317" t="s">
        <v>208</v>
      </c>
      <c r="C1235" s="317" t="s">
        <v>331</v>
      </c>
      <c r="D1235" s="317" t="s">
        <v>1373</v>
      </c>
      <c r="E1235" s="317" t="s">
        <v>329</v>
      </c>
      <c r="F1235" s="312">
        <v>23000</v>
      </c>
      <c r="G1235" s="312">
        <v>23000</v>
      </c>
      <c r="H1235" s="123" t="str">
        <f t="shared" si="19"/>
        <v>010611200Ч0070244</v>
      </c>
    </row>
    <row r="1236" spans="1:8">
      <c r="A1236" s="316" t="s">
        <v>60</v>
      </c>
      <c r="B1236" s="317" t="s">
        <v>208</v>
      </c>
      <c r="C1236" s="317" t="s">
        <v>426</v>
      </c>
      <c r="D1236" s="317" t="s">
        <v>1173</v>
      </c>
      <c r="E1236" s="317" t="s">
        <v>1173</v>
      </c>
      <c r="F1236" s="312">
        <v>2000000</v>
      </c>
      <c r="G1236" s="312">
        <v>2000000</v>
      </c>
      <c r="H1236" s="123" t="str">
        <f t="shared" si="19"/>
        <v>0111</v>
      </c>
    </row>
    <row r="1237" spans="1:8" ht="25.5">
      <c r="A1237" s="316" t="s">
        <v>601</v>
      </c>
      <c r="B1237" s="317" t="s">
        <v>208</v>
      </c>
      <c r="C1237" s="317" t="s">
        <v>426</v>
      </c>
      <c r="D1237" s="317" t="s">
        <v>1011</v>
      </c>
      <c r="E1237" s="317" t="s">
        <v>1173</v>
      </c>
      <c r="F1237" s="312">
        <v>2000000</v>
      </c>
      <c r="G1237" s="312">
        <v>2000000</v>
      </c>
      <c r="H1237" s="123" t="str">
        <f t="shared" si="19"/>
        <v>01119000000000</v>
      </c>
    </row>
    <row r="1238" spans="1:8" ht="51">
      <c r="A1238" s="316" t="s">
        <v>427</v>
      </c>
      <c r="B1238" s="317" t="s">
        <v>208</v>
      </c>
      <c r="C1238" s="317" t="s">
        <v>426</v>
      </c>
      <c r="D1238" s="317" t="s">
        <v>1012</v>
      </c>
      <c r="E1238" s="317" t="s">
        <v>1173</v>
      </c>
      <c r="F1238" s="312">
        <v>2000000</v>
      </c>
      <c r="G1238" s="312">
        <v>2000000</v>
      </c>
      <c r="H1238" s="123" t="str">
        <f t="shared" si="19"/>
        <v>01119010000000</v>
      </c>
    </row>
    <row r="1239" spans="1:8" ht="51">
      <c r="A1239" s="316" t="s">
        <v>427</v>
      </c>
      <c r="B1239" s="317" t="s">
        <v>208</v>
      </c>
      <c r="C1239" s="317" t="s">
        <v>426</v>
      </c>
      <c r="D1239" s="317" t="s">
        <v>793</v>
      </c>
      <c r="E1239" s="317" t="s">
        <v>1173</v>
      </c>
      <c r="F1239" s="312">
        <v>2000000</v>
      </c>
      <c r="G1239" s="312">
        <v>2000000</v>
      </c>
      <c r="H1239" s="123" t="str">
        <f t="shared" si="19"/>
        <v>01119010080000</v>
      </c>
    </row>
    <row r="1240" spans="1:8">
      <c r="A1240" s="316" t="s">
        <v>1321</v>
      </c>
      <c r="B1240" s="317" t="s">
        <v>208</v>
      </c>
      <c r="C1240" s="317" t="s">
        <v>426</v>
      </c>
      <c r="D1240" s="317" t="s">
        <v>793</v>
      </c>
      <c r="E1240" s="317" t="s">
        <v>1322</v>
      </c>
      <c r="F1240" s="312">
        <v>2000000</v>
      </c>
      <c r="G1240" s="312">
        <v>2000000</v>
      </c>
      <c r="H1240" s="123" t="str">
        <f t="shared" si="19"/>
        <v>01119010080000800</v>
      </c>
    </row>
    <row r="1241" spans="1:8">
      <c r="A1241" s="316" t="s">
        <v>428</v>
      </c>
      <c r="B1241" s="317" t="s">
        <v>208</v>
      </c>
      <c r="C1241" s="317" t="s">
        <v>426</v>
      </c>
      <c r="D1241" s="317" t="s">
        <v>793</v>
      </c>
      <c r="E1241" s="317" t="s">
        <v>429</v>
      </c>
      <c r="F1241" s="312">
        <v>2000000</v>
      </c>
      <c r="G1241" s="312">
        <v>2000000</v>
      </c>
      <c r="H1241" s="123" t="str">
        <f t="shared" si="19"/>
        <v>01119010080000870</v>
      </c>
    </row>
    <row r="1242" spans="1:8">
      <c r="A1242" s="316" t="s">
        <v>217</v>
      </c>
      <c r="B1242" s="317" t="s">
        <v>208</v>
      </c>
      <c r="C1242" s="317" t="s">
        <v>337</v>
      </c>
      <c r="D1242" s="317" t="s">
        <v>1173</v>
      </c>
      <c r="E1242" s="317" t="s">
        <v>1173</v>
      </c>
      <c r="F1242" s="312">
        <v>402500</v>
      </c>
      <c r="G1242" s="312">
        <v>402500</v>
      </c>
      <c r="H1242" s="123" t="str">
        <f t="shared" si="19"/>
        <v>0113</v>
      </c>
    </row>
    <row r="1243" spans="1:8" ht="38.25">
      <c r="A1243" s="316" t="s">
        <v>1371</v>
      </c>
      <c r="B1243" s="317" t="s">
        <v>208</v>
      </c>
      <c r="C1243" s="317" t="s">
        <v>337</v>
      </c>
      <c r="D1243" s="317" t="s">
        <v>999</v>
      </c>
      <c r="E1243" s="317" t="s">
        <v>1173</v>
      </c>
      <c r="F1243" s="312">
        <v>302500</v>
      </c>
      <c r="G1243" s="312">
        <v>302500</v>
      </c>
      <c r="H1243" s="123" t="str">
        <f t="shared" si="19"/>
        <v>01131100000000</v>
      </c>
    </row>
    <row r="1244" spans="1:8" ht="76.5">
      <c r="A1244" s="316" t="s">
        <v>1374</v>
      </c>
      <c r="B1244" s="317" t="s">
        <v>208</v>
      </c>
      <c r="C1244" s="317" t="s">
        <v>337</v>
      </c>
      <c r="D1244" s="317" t="s">
        <v>1000</v>
      </c>
      <c r="E1244" s="317" t="s">
        <v>1173</v>
      </c>
      <c r="F1244" s="312">
        <v>302500</v>
      </c>
      <c r="G1244" s="312">
        <v>302500</v>
      </c>
      <c r="H1244" s="123" t="str">
        <f t="shared" si="19"/>
        <v>01131110000000</v>
      </c>
    </row>
    <row r="1245" spans="1:8" ht="165.75">
      <c r="A1245" s="316" t="s">
        <v>1479</v>
      </c>
      <c r="B1245" s="317" t="s">
        <v>208</v>
      </c>
      <c r="C1245" s="317" t="s">
        <v>337</v>
      </c>
      <c r="D1245" s="317" t="s">
        <v>794</v>
      </c>
      <c r="E1245" s="317" t="s">
        <v>1173</v>
      </c>
      <c r="F1245" s="312">
        <v>302500</v>
      </c>
      <c r="G1245" s="312">
        <v>302500</v>
      </c>
      <c r="H1245" s="123" t="str">
        <f t="shared" si="19"/>
        <v>01131110075140</v>
      </c>
    </row>
    <row r="1246" spans="1:8">
      <c r="A1246" s="316" t="s">
        <v>1329</v>
      </c>
      <c r="B1246" s="317" t="s">
        <v>208</v>
      </c>
      <c r="C1246" s="317" t="s">
        <v>337</v>
      </c>
      <c r="D1246" s="317" t="s">
        <v>794</v>
      </c>
      <c r="E1246" s="317" t="s">
        <v>1330</v>
      </c>
      <c r="F1246" s="312">
        <v>302500</v>
      </c>
      <c r="G1246" s="312">
        <v>302500</v>
      </c>
      <c r="H1246" s="123" t="str">
        <f t="shared" si="19"/>
        <v>01131110075140500</v>
      </c>
    </row>
    <row r="1247" spans="1:8">
      <c r="A1247" s="316" t="s">
        <v>434</v>
      </c>
      <c r="B1247" s="317" t="s">
        <v>208</v>
      </c>
      <c r="C1247" s="317" t="s">
        <v>337</v>
      </c>
      <c r="D1247" s="317" t="s">
        <v>794</v>
      </c>
      <c r="E1247" s="317" t="s">
        <v>435</v>
      </c>
      <c r="F1247" s="312">
        <v>302500</v>
      </c>
      <c r="G1247" s="312">
        <v>302500</v>
      </c>
      <c r="H1247" s="123" t="str">
        <f t="shared" si="19"/>
        <v>01131110075140530</v>
      </c>
    </row>
    <row r="1248" spans="1:8" ht="25.5">
      <c r="A1248" s="316" t="s">
        <v>601</v>
      </c>
      <c r="B1248" s="317" t="s">
        <v>208</v>
      </c>
      <c r="C1248" s="317" t="s">
        <v>337</v>
      </c>
      <c r="D1248" s="317" t="s">
        <v>1011</v>
      </c>
      <c r="E1248" s="317" t="s">
        <v>1173</v>
      </c>
      <c r="F1248" s="312">
        <v>100000</v>
      </c>
      <c r="G1248" s="312">
        <v>100000</v>
      </c>
      <c r="H1248" s="123" t="str">
        <f t="shared" si="19"/>
        <v>01139000000000</v>
      </c>
    </row>
    <row r="1249" spans="1:8" ht="38.25">
      <c r="A1249" s="316" t="s">
        <v>431</v>
      </c>
      <c r="B1249" s="317" t="s">
        <v>208</v>
      </c>
      <c r="C1249" s="317" t="s">
        <v>337</v>
      </c>
      <c r="D1249" s="317" t="s">
        <v>1015</v>
      </c>
      <c r="E1249" s="317" t="s">
        <v>1173</v>
      </c>
      <c r="F1249" s="312">
        <v>100000</v>
      </c>
      <c r="G1249" s="312">
        <v>100000</v>
      </c>
      <c r="H1249" s="123" t="str">
        <f t="shared" si="19"/>
        <v>01139090000000</v>
      </c>
    </row>
    <row r="1250" spans="1:8" ht="38.25">
      <c r="A1250" s="316" t="s">
        <v>431</v>
      </c>
      <c r="B1250" s="317" t="s">
        <v>208</v>
      </c>
      <c r="C1250" s="317" t="s">
        <v>337</v>
      </c>
      <c r="D1250" s="317" t="s">
        <v>795</v>
      </c>
      <c r="E1250" s="317" t="s">
        <v>1173</v>
      </c>
      <c r="F1250" s="312">
        <v>100000</v>
      </c>
      <c r="G1250" s="312">
        <v>100000</v>
      </c>
      <c r="H1250" s="123" t="str">
        <f t="shared" si="19"/>
        <v>01139090080000</v>
      </c>
    </row>
    <row r="1251" spans="1:8">
      <c r="A1251" s="316" t="s">
        <v>1321</v>
      </c>
      <c r="B1251" s="317" t="s">
        <v>208</v>
      </c>
      <c r="C1251" s="317" t="s">
        <v>337</v>
      </c>
      <c r="D1251" s="317" t="s">
        <v>795</v>
      </c>
      <c r="E1251" s="317" t="s">
        <v>1322</v>
      </c>
      <c r="F1251" s="312">
        <v>100000</v>
      </c>
      <c r="G1251" s="312">
        <v>100000</v>
      </c>
      <c r="H1251" s="123" t="str">
        <f t="shared" si="19"/>
        <v>01139090080000800</v>
      </c>
    </row>
    <row r="1252" spans="1:8">
      <c r="A1252" s="316" t="s">
        <v>1210</v>
      </c>
      <c r="B1252" s="317" t="s">
        <v>208</v>
      </c>
      <c r="C1252" s="317" t="s">
        <v>337</v>
      </c>
      <c r="D1252" s="317" t="s">
        <v>795</v>
      </c>
      <c r="E1252" s="317" t="s">
        <v>201</v>
      </c>
      <c r="F1252" s="312">
        <v>100000</v>
      </c>
      <c r="G1252" s="312">
        <v>100000</v>
      </c>
      <c r="H1252" s="123" t="str">
        <f t="shared" si="19"/>
        <v>01139090080000830</v>
      </c>
    </row>
    <row r="1253" spans="1:8" ht="38.25">
      <c r="A1253" s="316" t="s">
        <v>1162</v>
      </c>
      <c r="B1253" s="317" t="s">
        <v>208</v>
      </c>
      <c r="C1253" s="317" t="s">
        <v>337</v>
      </c>
      <c r="D1253" s="317" t="s">
        <v>795</v>
      </c>
      <c r="E1253" s="317" t="s">
        <v>432</v>
      </c>
      <c r="F1253" s="312">
        <v>100000</v>
      </c>
      <c r="G1253" s="312">
        <v>100000</v>
      </c>
      <c r="H1253" s="123" t="str">
        <f t="shared" si="19"/>
        <v>01139090080000831</v>
      </c>
    </row>
    <row r="1254" spans="1:8">
      <c r="A1254" s="316" t="s">
        <v>187</v>
      </c>
      <c r="B1254" s="317" t="s">
        <v>208</v>
      </c>
      <c r="C1254" s="317" t="s">
        <v>1154</v>
      </c>
      <c r="D1254" s="317" t="s">
        <v>1173</v>
      </c>
      <c r="E1254" s="317" t="s">
        <v>1173</v>
      </c>
      <c r="F1254" s="312">
        <v>5633700</v>
      </c>
      <c r="G1254" s="312">
        <v>5842500</v>
      </c>
      <c r="H1254" s="123" t="str">
        <f t="shared" ref="H1254:H1306" si="20">CONCATENATE(C1254,,D1254,E1254)</f>
        <v>0200</v>
      </c>
    </row>
    <row r="1255" spans="1:8" ht="25.5">
      <c r="A1255" s="316" t="s">
        <v>188</v>
      </c>
      <c r="B1255" s="317" t="s">
        <v>208</v>
      </c>
      <c r="C1255" s="317" t="s">
        <v>433</v>
      </c>
      <c r="D1255" s="317" t="s">
        <v>1173</v>
      </c>
      <c r="E1255" s="317" t="s">
        <v>1173</v>
      </c>
      <c r="F1255" s="312">
        <v>5633700</v>
      </c>
      <c r="G1255" s="312">
        <v>5842500</v>
      </c>
      <c r="H1255" s="123" t="str">
        <f t="shared" si="20"/>
        <v>0203</v>
      </c>
    </row>
    <row r="1256" spans="1:8" ht="38.25">
      <c r="A1256" s="316" t="s">
        <v>1371</v>
      </c>
      <c r="B1256" s="317" t="s">
        <v>208</v>
      </c>
      <c r="C1256" s="317" t="s">
        <v>433</v>
      </c>
      <c r="D1256" s="317" t="s">
        <v>999</v>
      </c>
      <c r="E1256" s="317" t="s">
        <v>1173</v>
      </c>
      <c r="F1256" s="312">
        <v>5633700</v>
      </c>
      <c r="G1256" s="312">
        <v>5842500</v>
      </c>
      <c r="H1256" s="123" t="str">
        <f t="shared" si="20"/>
        <v>02031100000000</v>
      </c>
    </row>
    <row r="1257" spans="1:8" ht="76.5">
      <c r="A1257" s="316" t="s">
        <v>1374</v>
      </c>
      <c r="B1257" s="317" t="s">
        <v>208</v>
      </c>
      <c r="C1257" s="317" t="s">
        <v>433</v>
      </c>
      <c r="D1257" s="317" t="s">
        <v>1000</v>
      </c>
      <c r="E1257" s="317" t="s">
        <v>1173</v>
      </c>
      <c r="F1257" s="312">
        <v>5633700</v>
      </c>
      <c r="G1257" s="312">
        <v>5842500</v>
      </c>
      <c r="H1257" s="123" t="str">
        <f t="shared" si="20"/>
        <v>02031110000000</v>
      </c>
    </row>
    <row r="1258" spans="1:8" ht="140.25">
      <c r="A1258" s="316" t="s">
        <v>1964</v>
      </c>
      <c r="B1258" s="317" t="s">
        <v>208</v>
      </c>
      <c r="C1258" s="317" t="s">
        <v>433</v>
      </c>
      <c r="D1258" s="317" t="s">
        <v>796</v>
      </c>
      <c r="E1258" s="317" t="s">
        <v>1173</v>
      </c>
      <c r="F1258" s="312">
        <v>5633700</v>
      </c>
      <c r="G1258" s="312">
        <v>5842500</v>
      </c>
      <c r="H1258" s="123" t="str">
        <f t="shared" si="20"/>
        <v>02031110051180</v>
      </c>
    </row>
    <row r="1259" spans="1:8">
      <c r="A1259" s="316" t="s">
        <v>1329</v>
      </c>
      <c r="B1259" s="317" t="s">
        <v>208</v>
      </c>
      <c r="C1259" s="317" t="s">
        <v>433</v>
      </c>
      <c r="D1259" s="317" t="s">
        <v>796</v>
      </c>
      <c r="E1259" s="317" t="s">
        <v>1330</v>
      </c>
      <c r="F1259" s="312">
        <v>5633700</v>
      </c>
      <c r="G1259" s="312">
        <v>5842500</v>
      </c>
      <c r="H1259" s="123" t="str">
        <f t="shared" si="20"/>
        <v>02031110051180500</v>
      </c>
    </row>
    <row r="1260" spans="1:8">
      <c r="A1260" s="316" t="s">
        <v>434</v>
      </c>
      <c r="B1260" s="317" t="s">
        <v>208</v>
      </c>
      <c r="C1260" s="317" t="s">
        <v>433</v>
      </c>
      <c r="D1260" s="317" t="s">
        <v>796</v>
      </c>
      <c r="E1260" s="317" t="s">
        <v>435</v>
      </c>
      <c r="F1260" s="312">
        <v>5633700</v>
      </c>
      <c r="G1260" s="312">
        <v>5842500</v>
      </c>
      <c r="H1260" s="123" t="str">
        <f t="shared" si="20"/>
        <v>02031110051180530</v>
      </c>
    </row>
    <row r="1261" spans="1:8" ht="38.25">
      <c r="A1261" s="316" t="s">
        <v>238</v>
      </c>
      <c r="B1261" s="317" t="s">
        <v>208</v>
      </c>
      <c r="C1261" s="317" t="s">
        <v>1137</v>
      </c>
      <c r="D1261" s="317" t="s">
        <v>1173</v>
      </c>
      <c r="E1261" s="317" t="s">
        <v>1173</v>
      </c>
      <c r="F1261" s="312">
        <v>4102500</v>
      </c>
      <c r="G1261" s="312">
        <v>4102500</v>
      </c>
      <c r="H1261" s="123" t="str">
        <f t="shared" si="20"/>
        <v>0300</v>
      </c>
    </row>
    <row r="1262" spans="1:8" ht="51">
      <c r="A1262" s="316" t="s">
        <v>1705</v>
      </c>
      <c r="B1262" s="317" t="s">
        <v>208</v>
      </c>
      <c r="C1262" s="317" t="s">
        <v>345</v>
      </c>
      <c r="D1262" s="317" t="s">
        <v>1173</v>
      </c>
      <c r="E1262" s="317" t="s">
        <v>1173</v>
      </c>
      <c r="F1262" s="312">
        <v>4102500</v>
      </c>
      <c r="G1262" s="312">
        <v>4102500</v>
      </c>
      <c r="H1262" s="123" t="str">
        <f t="shared" si="20"/>
        <v>0310</v>
      </c>
    </row>
    <row r="1263" spans="1:8" ht="63.75">
      <c r="A1263" s="316" t="s">
        <v>1751</v>
      </c>
      <c r="B1263" s="317" t="s">
        <v>208</v>
      </c>
      <c r="C1263" s="317" t="s">
        <v>345</v>
      </c>
      <c r="D1263" s="317" t="s">
        <v>978</v>
      </c>
      <c r="E1263" s="317" t="s">
        <v>1173</v>
      </c>
      <c r="F1263" s="312">
        <v>4102500</v>
      </c>
      <c r="G1263" s="312">
        <v>4102500</v>
      </c>
      <c r="H1263" s="123" t="str">
        <f t="shared" si="20"/>
        <v>03100400000000</v>
      </c>
    </row>
    <row r="1264" spans="1:8" ht="25.5">
      <c r="A1264" s="316" t="s">
        <v>459</v>
      </c>
      <c r="B1264" s="317" t="s">
        <v>208</v>
      </c>
      <c r="C1264" s="317" t="s">
        <v>345</v>
      </c>
      <c r="D1264" s="317" t="s">
        <v>980</v>
      </c>
      <c r="E1264" s="317" t="s">
        <v>1173</v>
      </c>
      <c r="F1264" s="312">
        <v>4102500</v>
      </c>
      <c r="G1264" s="312">
        <v>4102500</v>
      </c>
      <c r="H1264" s="123" t="str">
        <f t="shared" si="20"/>
        <v>03100420000000</v>
      </c>
    </row>
    <row r="1265" spans="1:8" ht="140.25">
      <c r="A1265" s="316" t="s">
        <v>2112</v>
      </c>
      <c r="B1265" s="317" t="s">
        <v>208</v>
      </c>
      <c r="C1265" s="317" t="s">
        <v>345</v>
      </c>
      <c r="D1265" s="317" t="s">
        <v>1224</v>
      </c>
      <c r="E1265" s="317" t="s">
        <v>1173</v>
      </c>
      <c r="F1265" s="312">
        <v>4102500</v>
      </c>
      <c r="G1265" s="312">
        <v>4102500</v>
      </c>
      <c r="H1265" s="123" t="str">
        <f t="shared" si="20"/>
        <v>031004200S4120</v>
      </c>
    </row>
    <row r="1266" spans="1:8">
      <c r="A1266" s="316" t="s">
        <v>1329</v>
      </c>
      <c r="B1266" s="317" t="s">
        <v>208</v>
      </c>
      <c r="C1266" s="317" t="s">
        <v>345</v>
      </c>
      <c r="D1266" s="317" t="s">
        <v>1224</v>
      </c>
      <c r="E1266" s="317" t="s">
        <v>1330</v>
      </c>
      <c r="F1266" s="312">
        <v>4102500</v>
      </c>
      <c r="G1266" s="312">
        <v>4102500</v>
      </c>
      <c r="H1266" s="123" t="str">
        <f t="shared" si="20"/>
        <v>031004200S4120500</v>
      </c>
    </row>
    <row r="1267" spans="1:8">
      <c r="A1267" s="316" t="s">
        <v>68</v>
      </c>
      <c r="B1267" s="317" t="s">
        <v>208</v>
      </c>
      <c r="C1267" s="317" t="s">
        <v>345</v>
      </c>
      <c r="D1267" s="317" t="s">
        <v>1224</v>
      </c>
      <c r="E1267" s="317" t="s">
        <v>430</v>
      </c>
      <c r="F1267" s="312">
        <v>4102500</v>
      </c>
      <c r="G1267" s="312">
        <v>4102500</v>
      </c>
      <c r="H1267" s="123" t="str">
        <f t="shared" si="20"/>
        <v>031004200S4120540</v>
      </c>
    </row>
    <row r="1268" spans="1:8">
      <c r="A1268" s="316" t="s">
        <v>183</v>
      </c>
      <c r="B1268" s="317" t="s">
        <v>208</v>
      </c>
      <c r="C1268" s="317" t="s">
        <v>1140</v>
      </c>
      <c r="D1268" s="317" t="s">
        <v>1173</v>
      </c>
      <c r="E1268" s="317" t="s">
        <v>1173</v>
      </c>
      <c r="F1268" s="312">
        <v>4874750</v>
      </c>
      <c r="G1268" s="312">
        <v>4874750</v>
      </c>
      <c r="H1268" s="123" t="str">
        <f t="shared" si="20"/>
        <v>0400</v>
      </c>
    </row>
    <row r="1269" spans="1:8">
      <c r="A1269" s="316" t="s">
        <v>252</v>
      </c>
      <c r="B1269" s="317" t="s">
        <v>208</v>
      </c>
      <c r="C1269" s="317" t="s">
        <v>358</v>
      </c>
      <c r="D1269" s="317" t="s">
        <v>1173</v>
      </c>
      <c r="E1269" s="317" t="s">
        <v>1173</v>
      </c>
      <c r="F1269" s="312">
        <v>4874750</v>
      </c>
      <c r="G1269" s="312">
        <v>4874750</v>
      </c>
      <c r="H1269" s="123" t="str">
        <f t="shared" si="20"/>
        <v>0409</v>
      </c>
    </row>
    <row r="1270" spans="1:8" ht="38.25">
      <c r="A1270" s="316" t="s">
        <v>483</v>
      </c>
      <c r="B1270" s="317" t="s">
        <v>208</v>
      </c>
      <c r="C1270" s="317" t="s">
        <v>358</v>
      </c>
      <c r="D1270" s="317" t="s">
        <v>993</v>
      </c>
      <c r="E1270" s="317" t="s">
        <v>1173</v>
      </c>
      <c r="F1270" s="312">
        <v>4874750</v>
      </c>
      <c r="G1270" s="312">
        <v>4874750</v>
      </c>
      <c r="H1270" s="123" t="str">
        <f t="shared" si="20"/>
        <v>04090900000000</v>
      </c>
    </row>
    <row r="1271" spans="1:8" ht="25.5">
      <c r="A1271" s="316" t="s">
        <v>484</v>
      </c>
      <c r="B1271" s="317" t="s">
        <v>208</v>
      </c>
      <c r="C1271" s="317" t="s">
        <v>358</v>
      </c>
      <c r="D1271" s="317" t="s">
        <v>994</v>
      </c>
      <c r="E1271" s="317" t="s">
        <v>1173</v>
      </c>
      <c r="F1271" s="312">
        <v>4874750</v>
      </c>
      <c r="G1271" s="312">
        <v>4874750</v>
      </c>
      <c r="H1271" s="123" t="str">
        <f t="shared" si="20"/>
        <v>04090910000000</v>
      </c>
    </row>
    <row r="1272" spans="1:8" ht="127.5">
      <c r="A1272" s="316" t="s">
        <v>2113</v>
      </c>
      <c r="B1272" s="317" t="s">
        <v>208</v>
      </c>
      <c r="C1272" s="317" t="s">
        <v>358</v>
      </c>
      <c r="D1272" s="317" t="s">
        <v>1857</v>
      </c>
      <c r="E1272" s="317" t="s">
        <v>1173</v>
      </c>
      <c r="F1272" s="312">
        <v>4874750</v>
      </c>
      <c r="G1272" s="312">
        <v>4874750</v>
      </c>
      <c r="H1272" s="123" t="str">
        <f t="shared" si="20"/>
        <v>040909100Ч0030</v>
      </c>
    </row>
    <row r="1273" spans="1:8">
      <c r="A1273" s="316" t="s">
        <v>1329</v>
      </c>
      <c r="B1273" s="317" t="s">
        <v>208</v>
      </c>
      <c r="C1273" s="317" t="s">
        <v>358</v>
      </c>
      <c r="D1273" s="317" t="s">
        <v>1857</v>
      </c>
      <c r="E1273" s="317" t="s">
        <v>1330</v>
      </c>
      <c r="F1273" s="312">
        <v>4874750</v>
      </c>
      <c r="G1273" s="312">
        <v>4874750</v>
      </c>
      <c r="H1273" s="123" t="str">
        <f t="shared" si="20"/>
        <v>040909100Ч0030500</v>
      </c>
    </row>
    <row r="1274" spans="1:8">
      <c r="A1274" s="316" t="s">
        <v>68</v>
      </c>
      <c r="B1274" s="317" t="s">
        <v>208</v>
      </c>
      <c r="C1274" s="317" t="s">
        <v>358</v>
      </c>
      <c r="D1274" s="317" t="s">
        <v>1857</v>
      </c>
      <c r="E1274" s="317" t="s">
        <v>430</v>
      </c>
      <c r="F1274" s="312">
        <v>4874750</v>
      </c>
      <c r="G1274" s="312">
        <v>4874750</v>
      </c>
      <c r="H1274" s="123" t="str">
        <f t="shared" si="20"/>
        <v>040909100Ч0030540</v>
      </c>
    </row>
    <row r="1275" spans="1:8">
      <c r="A1275" s="316" t="s">
        <v>140</v>
      </c>
      <c r="B1275" s="317" t="s">
        <v>208</v>
      </c>
      <c r="C1275" s="317" t="s">
        <v>1142</v>
      </c>
      <c r="D1275" s="317" t="s">
        <v>1173</v>
      </c>
      <c r="E1275" s="317" t="s">
        <v>1173</v>
      </c>
      <c r="F1275" s="312">
        <v>2500000</v>
      </c>
      <c r="G1275" s="312">
        <v>2500000</v>
      </c>
      <c r="H1275" s="123" t="str">
        <f t="shared" si="20"/>
        <v>0700</v>
      </c>
    </row>
    <row r="1276" spans="1:8">
      <c r="A1276" s="316" t="s">
        <v>1075</v>
      </c>
      <c r="B1276" s="317" t="s">
        <v>208</v>
      </c>
      <c r="C1276" s="317" t="s">
        <v>365</v>
      </c>
      <c r="D1276" s="317" t="s">
        <v>1173</v>
      </c>
      <c r="E1276" s="317" t="s">
        <v>1173</v>
      </c>
      <c r="F1276" s="312">
        <v>2500000</v>
      </c>
      <c r="G1276" s="312">
        <v>2500000</v>
      </c>
      <c r="H1276" s="123" t="str">
        <f t="shared" si="20"/>
        <v>0707</v>
      </c>
    </row>
    <row r="1277" spans="1:8" ht="25.5">
      <c r="A1277" s="316" t="s">
        <v>466</v>
      </c>
      <c r="B1277" s="317" t="s">
        <v>208</v>
      </c>
      <c r="C1277" s="317" t="s">
        <v>365</v>
      </c>
      <c r="D1277" s="317" t="s">
        <v>985</v>
      </c>
      <c r="E1277" s="317" t="s">
        <v>1173</v>
      </c>
      <c r="F1277" s="312">
        <v>2500000</v>
      </c>
      <c r="G1277" s="312">
        <v>2500000</v>
      </c>
      <c r="H1277" s="123" t="str">
        <f t="shared" si="20"/>
        <v>07070600000000</v>
      </c>
    </row>
    <row r="1278" spans="1:8" ht="38.25">
      <c r="A1278" s="316" t="s">
        <v>467</v>
      </c>
      <c r="B1278" s="317" t="s">
        <v>208</v>
      </c>
      <c r="C1278" s="317" t="s">
        <v>365</v>
      </c>
      <c r="D1278" s="317" t="s">
        <v>986</v>
      </c>
      <c r="E1278" s="317" t="s">
        <v>1173</v>
      </c>
      <c r="F1278" s="312">
        <v>2500000</v>
      </c>
      <c r="G1278" s="312">
        <v>2500000</v>
      </c>
      <c r="H1278" s="123" t="str">
        <f t="shared" si="20"/>
        <v>07070610000000</v>
      </c>
    </row>
    <row r="1279" spans="1:8" ht="153">
      <c r="A1279" s="316" t="s">
        <v>1482</v>
      </c>
      <c r="B1279" s="317" t="s">
        <v>208</v>
      </c>
      <c r="C1279" s="317" t="s">
        <v>365</v>
      </c>
      <c r="D1279" s="317" t="s">
        <v>799</v>
      </c>
      <c r="E1279" s="317" t="s">
        <v>1173</v>
      </c>
      <c r="F1279" s="312">
        <v>2500000</v>
      </c>
      <c r="G1279" s="312">
        <v>2500000</v>
      </c>
      <c r="H1279" s="123" t="str">
        <f t="shared" si="20"/>
        <v>070706100Ч0050</v>
      </c>
    </row>
    <row r="1280" spans="1:8">
      <c r="A1280" s="316" t="s">
        <v>1329</v>
      </c>
      <c r="B1280" s="317" t="s">
        <v>208</v>
      </c>
      <c r="C1280" s="317" t="s">
        <v>365</v>
      </c>
      <c r="D1280" s="317" t="s">
        <v>799</v>
      </c>
      <c r="E1280" s="317" t="s">
        <v>1330</v>
      </c>
      <c r="F1280" s="312">
        <v>2500000</v>
      </c>
      <c r="G1280" s="312">
        <v>2500000</v>
      </c>
      <c r="H1280" s="123" t="str">
        <f t="shared" si="20"/>
        <v>070706100Ч0050500</v>
      </c>
    </row>
    <row r="1281" spans="1:8">
      <c r="A1281" s="316" t="s">
        <v>68</v>
      </c>
      <c r="B1281" s="317" t="s">
        <v>208</v>
      </c>
      <c r="C1281" s="317" t="s">
        <v>365</v>
      </c>
      <c r="D1281" s="317" t="s">
        <v>799</v>
      </c>
      <c r="E1281" s="317" t="s">
        <v>430</v>
      </c>
      <c r="F1281" s="312">
        <v>2500000</v>
      </c>
      <c r="G1281" s="312">
        <v>2500000</v>
      </c>
      <c r="H1281" s="123" t="str">
        <f t="shared" si="20"/>
        <v>070706100Ч0050540</v>
      </c>
    </row>
    <row r="1282" spans="1:8" ht="25.5">
      <c r="A1282" s="316" t="s">
        <v>1965</v>
      </c>
      <c r="B1282" s="317" t="s">
        <v>208</v>
      </c>
      <c r="C1282" s="317" t="s">
        <v>1966</v>
      </c>
      <c r="D1282" s="317" t="s">
        <v>1173</v>
      </c>
      <c r="E1282" s="317" t="s">
        <v>1173</v>
      </c>
      <c r="F1282" s="312">
        <v>24000</v>
      </c>
      <c r="G1282" s="312">
        <v>0</v>
      </c>
      <c r="H1282" s="123" t="str">
        <f t="shared" si="20"/>
        <v>1300</v>
      </c>
    </row>
    <row r="1283" spans="1:8" ht="25.5">
      <c r="A1283" s="316" t="s">
        <v>1967</v>
      </c>
      <c r="B1283" s="317" t="s">
        <v>208</v>
      </c>
      <c r="C1283" s="317" t="s">
        <v>1968</v>
      </c>
      <c r="D1283" s="317" t="s">
        <v>1173</v>
      </c>
      <c r="E1283" s="317" t="s">
        <v>1173</v>
      </c>
      <c r="F1283" s="312">
        <v>24000</v>
      </c>
      <c r="G1283" s="312">
        <v>0</v>
      </c>
      <c r="H1283" s="123" t="str">
        <f t="shared" si="20"/>
        <v>1301</v>
      </c>
    </row>
    <row r="1284" spans="1:8" ht="25.5">
      <c r="A1284" s="316" t="s">
        <v>601</v>
      </c>
      <c r="B1284" s="317" t="s">
        <v>208</v>
      </c>
      <c r="C1284" s="317" t="s">
        <v>1968</v>
      </c>
      <c r="D1284" s="317" t="s">
        <v>1011</v>
      </c>
      <c r="E1284" s="317" t="s">
        <v>1173</v>
      </c>
      <c r="F1284" s="312">
        <v>24000</v>
      </c>
      <c r="G1284" s="312">
        <v>0</v>
      </c>
      <c r="H1284" s="123" t="str">
        <f t="shared" si="20"/>
        <v>13019000000000</v>
      </c>
    </row>
    <row r="1285" spans="1:8" ht="38.25">
      <c r="A1285" s="316" t="s">
        <v>431</v>
      </c>
      <c r="B1285" s="317" t="s">
        <v>208</v>
      </c>
      <c r="C1285" s="317" t="s">
        <v>1968</v>
      </c>
      <c r="D1285" s="317" t="s">
        <v>1015</v>
      </c>
      <c r="E1285" s="317" t="s">
        <v>1173</v>
      </c>
      <c r="F1285" s="312">
        <v>24000</v>
      </c>
      <c r="G1285" s="312">
        <v>0</v>
      </c>
      <c r="H1285" s="123" t="str">
        <f t="shared" si="20"/>
        <v>13019090000000</v>
      </c>
    </row>
    <row r="1286" spans="1:8" ht="38.25">
      <c r="A1286" s="316" t="s">
        <v>431</v>
      </c>
      <c r="B1286" s="317" t="s">
        <v>208</v>
      </c>
      <c r="C1286" s="317" t="s">
        <v>1968</v>
      </c>
      <c r="D1286" s="317" t="s">
        <v>795</v>
      </c>
      <c r="E1286" s="317" t="s">
        <v>1173</v>
      </c>
      <c r="F1286" s="312">
        <v>24000</v>
      </c>
      <c r="G1286" s="312">
        <v>0</v>
      </c>
      <c r="H1286" s="123" t="str">
        <f t="shared" si="20"/>
        <v>13019090080000</v>
      </c>
    </row>
    <row r="1287" spans="1:8" ht="25.5">
      <c r="A1287" s="316" t="s">
        <v>1969</v>
      </c>
      <c r="B1287" s="317" t="s">
        <v>208</v>
      </c>
      <c r="C1287" s="317" t="s">
        <v>1968</v>
      </c>
      <c r="D1287" s="317" t="s">
        <v>795</v>
      </c>
      <c r="E1287" s="317" t="s">
        <v>1970</v>
      </c>
      <c r="F1287" s="312">
        <v>24000</v>
      </c>
      <c r="G1287" s="312">
        <v>0</v>
      </c>
      <c r="H1287" s="123" t="str">
        <f t="shared" si="20"/>
        <v>13019090080000700</v>
      </c>
    </row>
    <row r="1288" spans="1:8">
      <c r="A1288" s="316" t="s">
        <v>1971</v>
      </c>
      <c r="B1288" s="317" t="s">
        <v>208</v>
      </c>
      <c r="C1288" s="317" t="s">
        <v>1968</v>
      </c>
      <c r="D1288" s="317" t="s">
        <v>795</v>
      </c>
      <c r="E1288" s="317" t="s">
        <v>1972</v>
      </c>
      <c r="F1288" s="312">
        <v>24000</v>
      </c>
      <c r="G1288" s="312">
        <v>0</v>
      </c>
      <c r="H1288" s="123" t="str">
        <f t="shared" si="20"/>
        <v>13019090080000730</v>
      </c>
    </row>
    <row r="1289" spans="1:8" ht="51">
      <c r="A1289" s="316" t="s">
        <v>1155</v>
      </c>
      <c r="B1289" s="317" t="s">
        <v>208</v>
      </c>
      <c r="C1289" s="317" t="s">
        <v>1156</v>
      </c>
      <c r="D1289" s="317" t="s">
        <v>1173</v>
      </c>
      <c r="E1289" s="317" t="s">
        <v>1173</v>
      </c>
      <c r="F1289" s="312">
        <v>80964800</v>
      </c>
      <c r="G1289" s="312">
        <v>80964800</v>
      </c>
      <c r="H1289" s="123" t="str">
        <f t="shared" si="20"/>
        <v>1400</v>
      </c>
    </row>
    <row r="1290" spans="1:8" ht="38.25">
      <c r="A1290" s="316" t="s">
        <v>211</v>
      </c>
      <c r="B1290" s="317" t="s">
        <v>208</v>
      </c>
      <c r="C1290" s="317" t="s">
        <v>437</v>
      </c>
      <c r="D1290" s="317" t="s">
        <v>1173</v>
      </c>
      <c r="E1290" s="317" t="s">
        <v>1173</v>
      </c>
      <c r="F1290" s="312">
        <v>62824800</v>
      </c>
      <c r="G1290" s="312">
        <v>62824800</v>
      </c>
      <c r="H1290" s="123" t="str">
        <f t="shared" si="20"/>
        <v>1401</v>
      </c>
    </row>
    <row r="1291" spans="1:8" ht="38.25">
      <c r="A1291" s="316" t="s">
        <v>1371</v>
      </c>
      <c r="B1291" s="317" t="s">
        <v>208</v>
      </c>
      <c r="C1291" s="317" t="s">
        <v>437</v>
      </c>
      <c r="D1291" s="317" t="s">
        <v>999</v>
      </c>
      <c r="E1291" s="317" t="s">
        <v>1173</v>
      </c>
      <c r="F1291" s="312">
        <v>62824800</v>
      </c>
      <c r="G1291" s="312">
        <v>62824800</v>
      </c>
      <c r="H1291" s="123" t="str">
        <f t="shared" si="20"/>
        <v>14011100000000</v>
      </c>
    </row>
    <row r="1292" spans="1:8" ht="76.5">
      <c r="A1292" s="316" t="s">
        <v>1374</v>
      </c>
      <c r="B1292" s="317" t="s">
        <v>208</v>
      </c>
      <c r="C1292" s="317" t="s">
        <v>437</v>
      </c>
      <c r="D1292" s="317" t="s">
        <v>1000</v>
      </c>
      <c r="E1292" s="317" t="s">
        <v>1173</v>
      </c>
      <c r="F1292" s="312">
        <v>62824800</v>
      </c>
      <c r="G1292" s="312">
        <v>62824800</v>
      </c>
      <c r="H1292" s="123" t="str">
        <f t="shared" si="20"/>
        <v>14011110000000</v>
      </c>
    </row>
    <row r="1293" spans="1:8" ht="165.75">
      <c r="A1293" s="316" t="s">
        <v>1377</v>
      </c>
      <c r="B1293" s="317" t="s">
        <v>208</v>
      </c>
      <c r="C1293" s="317" t="s">
        <v>437</v>
      </c>
      <c r="D1293" s="317" t="s">
        <v>801</v>
      </c>
      <c r="E1293" s="317" t="s">
        <v>1173</v>
      </c>
      <c r="F1293" s="312">
        <v>37664800</v>
      </c>
      <c r="G1293" s="312">
        <v>37664800</v>
      </c>
      <c r="H1293" s="123" t="str">
        <f t="shared" si="20"/>
        <v>14011110076010</v>
      </c>
    </row>
    <row r="1294" spans="1:8">
      <c r="A1294" s="316" t="s">
        <v>1329</v>
      </c>
      <c r="B1294" s="317" t="s">
        <v>208</v>
      </c>
      <c r="C1294" s="317" t="s">
        <v>437</v>
      </c>
      <c r="D1294" s="317" t="s">
        <v>801</v>
      </c>
      <c r="E1294" s="317" t="s">
        <v>1330</v>
      </c>
      <c r="F1294" s="312">
        <v>37664800</v>
      </c>
      <c r="G1294" s="312">
        <v>37664800</v>
      </c>
      <c r="H1294" s="123" t="str">
        <f t="shared" si="20"/>
        <v>14011110076010500</v>
      </c>
    </row>
    <row r="1295" spans="1:8">
      <c r="A1295" s="316" t="s">
        <v>1208</v>
      </c>
      <c r="B1295" s="317" t="s">
        <v>208</v>
      </c>
      <c r="C1295" s="317" t="s">
        <v>437</v>
      </c>
      <c r="D1295" s="317" t="s">
        <v>801</v>
      </c>
      <c r="E1295" s="317" t="s">
        <v>1209</v>
      </c>
      <c r="F1295" s="312">
        <v>37664800</v>
      </c>
      <c r="G1295" s="312">
        <v>37664800</v>
      </c>
      <c r="H1295" s="123" t="str">
        <f t="shared" si="20"/>
        <v>14011110076010510</v>
      </c>
    </row>
    <row r="1296" spans="1:8" ht="25.5">
      <c r="A1296" s="316" t="s">
        <v>546</v>
      </c>
      <c r="B1296" s="317" t="s">
        <v>208</v>
      </c>
      <c r="C1296" s="317" t="s">
        <v>437</v>
      </c>
      <c r="D1296" s="317" t="s">
        <v>801</v>
      </c>
      <c r="E1296" s="317" t="s">
        <v>438</v>
      </c>
      <c r="F1296" s="312">
        <v>37664800</v>
      </c>
      <c r="G1296" s="312">
        <v>37664800</v>
      </c>
      <c r="H1296" s="123" t="str">
        <f t="shared" si="20"/>
        <v>14011110076010511</v>
      </c>
    </row>
    <row r="1297" spans="1:8" ht="127.5">
      <c r="A1297" s="316" t="s">
        <v>540</v>
      </c>
      <c r="B1297" s="317" t="s">
        <v>208</v>
      </c>
      <c r="C1297" s="317" t="s">
        <v>437</v>
      </c>
      <c r="D1297" s="317" t="s">
        <v>802</v>
      </c>
      <c r="E1297" s="317" t="s">
        <v>1173</v>
      </c>
      <c r="F1297" s="312">
        <v>25160000</v>
      </c>
      <c r="G1297" s="312">
        <v>25160000</v>
      </c>
      <c r="H1297" s="123" t="str">
        <f t="shared" si="20"/>
        <v>14011110080130</v>
      </c>
    </row>
    <row r="1298" spans="1:8">
      <c r="A1298" s="316" t="s">
        <v>1329</v>
      </c>
      <c r="B1298" s="317" t="s">
        <v>208</v>
      </c>
      <c r="C1298" s="317" t="s">
        <v>437</v>
      </c>
      <c r="D1298" s="317" t="s">
        <v>802</v>
      </c>
      <c r="E1298" s="317" t="s">
        <v>1330</v>
      </c>
      <c r="F1298" s="312">
        <v>25160000</v>
      </c>
      <c r="G1298" s="312">
        <v>25160000</v>
      </c>
      <c r="H1298" s="123" t="str">
        <f t="shared" si="20"/>
        <v>14011110080130500</v>
      </c>
    </row>
    <row r="1299" spans="1:8">
      <c r="A1299" s="316" t="s">
        <v>1208</v>
      </c>
      <c r="B1299" s="317" t="s">
        <v>208</v>
      </c>
      <c r="C1299" s="317" t="s">
        <v>437</v>
      </c>
      <c r="D1299" s="317" t="s">
        <v>802</v>
      </c>
      <c r="E1299" s="317" t="s">
        <v>1209</v>
      </c>
      <c r="F1299" s="312">
        <v>25160000</v>
      </c>
      <c r="G1299" s="312">
        <v>25160000</v>
      </c>
      <c r="H1299" s="123" t="str">
        <f t="shared" si="20"/>
        <v>14011110080130510</v>
      </c>
    </row>
    <row r="1300" spans="1:8" ht="25.5">
      <c r="A1300" s="316" t="s">
        <v>546</v>
      </c>
      <c r="B1300" s="317" t="s">
        <v>208</v>
      </c>
      <c r="C1300" s="317" t="s">
        <v>437</v>
      </c>
      <c r="D1300" s="317" t="s">
        <v>802</v>
      </c>
      <c r="E1300" s="317" t="s">
        <v>438</v>
      </c>
      <c r="F1300" s="312">
        <v>25160000</v>
      </c>
      <c r="G1300" s="312">
        <v>25160000</v>
      </c>
      <c r="H1300" s="123" t="str">
        <f t="shared" si="20"/>
        <v>14011110080130511</v>
      </c>
    </row>
    <row r="1301" spans="1:8" ht="25.5">
      <c r="A1301" s="316" t="s">
        <v>250</v>
      </c>
      <c r="B1301" s="317" t="s">
        <v>208</v>
      </c>
      <c r="C1301" s="317" t="s">
        <v>439</v>
      </c>
      <c r="D1301" s="317" t="s">
        <v>1173</v>
      </c>
      <c r="E1301" s="317" t="s">
        <v>1173</v>
      </c>
      <c r="F1301" s="312">
        <v>18140000</v>
      </c>
      <c r="G1301" s="312">
        <v>18140000</v>
      </c>
      <c r="H1301" s="123" t="str">
        <f t="shared" si="20"/>
        <v>1403</v>
      </c>
    </row>
    <row r="1302" spans="1:8" ht="38.25">
      <c r="A1302" s="316" t="s">
        <v>1371</v>
      </c>
      <c r="B1302" s="317" t="s">
        <v>208</v>
      </c>
      <c r="C1302" s="317" t="s">
        <v>439</v>
      </c>
      <c r="D1302" s="317" t="s">
        <v>999</v>
      </c>
      <c r="E1302" s="317" t="s">
        <v>1173</v>
      </c>
      <c r="F1302" s="312">
        <v>18140000</v>
      </c>
      <c r="G1302" s="312">
        <v>18140000</v>
      </c>
      <c r="H1302" s="123" t="str">
        <f t="shared" si="20"/>
        <v>14031100000000</v>
      </c>
    </row>
    <row r="1303" spans="1:8" ht="76.5">
      <c r="A1303" s="316" t="s">
        <v>1374</v>
      </c>
      <c r="B1303" s="317" t="s">
        <v>208</v>
      </c>
      <c r="C1303" s="317" t="s">
        <v>439</v>
      </c>
      <c r="D1303" s="317" t="s">
        <v>1000</v>
      </c>
      <c r="E1303" s="317" t="s">
        <v>1173</v>
      </c>
      <c r="F1303" s="312">
        <v>18140000</v>
      </c>
      <c r="G1303" s="312">
        <v>18140000</v>
      </c>
      <c r="H1303" s="123" t="str">
        <f t="shared" si="20"/>
        <v>14031110000000</v>
      </c>
    </row>
    <row r="1304" spans="1:8" ht="140.25">
      <c r="A1304" s="316" t="s">
        <v>1486</v>
      </c>
      <c r="B1304" s="317" t="s">
        <v>208</v>
      </c>
      <c r="C1304" s="317" t="s">
        <v>439</v>
      </c>
      <c r="D1304" s="317" t="s">
        <v>803</v>
      </c>
      <c r="E1304" s="317" t="s">
        <v>1173</v>
      </c>
      <c r="F1304" s="312">
        <v>18140000</v>
      </c>
      <c r="G1304" s="312">
        <v>18140000</v>
      </c>
      <c r="H1304" s="123" t="str">
        <f t="shared" si="20"/>
        <v>14031110080120</v>
      </c>
    </row>
    <row r="1305" spans="1:8">
      <c r="A1305" s="316" t="s">
        <v>1329</v>
      </c>
      <c r="B1305" s="317" t="s">
        <v>208</v>
      </c>
      <c r="C1305" s="317" t="s">
        <v>439</v>
      </c>
      <c r="D1305" s="317" t="s">
        <v>803</v>
      </c>
      <c r="E1305" s="317" t="s">
        <v>1330</v>
      </c>
      <c r="F1305" s="312">
        <v>18140000</v>
      </c>
      <c r="G1305" s="312">
        <v>18140000</v>
      </c>
      <c r="H1305" s="123" t="str">
        <f t="shared" si="20"/>
        <v>14031110080120500</v>
      </c>
    </row>
    <row r="1306" spans="1:8">
      <c r="A1306" s="316" t="s">
        <v>68</v>
      </c>
      <c r="B1306" s="317" t="s">
        <v>208</v>
      </c>
      <c r="C1306" s="317" t="s">
        <v>439</v>
      </c>
      <c r="D1306" s="317" t="s">
        <v>803</v>
      </c>
      <c r="E1306" s="317" t="s">
        <v>430</v>
      </c>
      <c r="F1306" s="312">
        <v>18140000</v>
      </c>
      <c r="G1306" s="312">
        <v>18140000</v>
      </c>
      <c r="H1306" s="123" t="str">
        <f t="shared" si="20"/>
        <v>14031110080120540</v>
      </c>
    </row>
    <row r="1307" spans="1:8">
      <c r="A1307" s="399" t="s">
        <v>1749</v>
      </c>
      <c r="B1307" s="211"/>
      <c r="C1307" s="211"/>
      <c r="D1307" s="211"/>
      <c r="E1307" s="211"/>
      <c r="F1307" s="165">
        <v>30000000</v>
      </c>
      <c r="G1307" s="165">
        <v>63000000</v>
      </c>
    </row>
  </sheetData>
  <autoFilter ref="A6:I1307">
    <filterColumn colId="0"/>
    <filterColumn colId="1"/>
    <filterColumn colId="2"/>
    <filterColumn colId="3"/>
    <filterColumn colId="4"/>
  </autoFilter>
  <mergeCells count="7">
    <mergeCell ref="A1:G1"/>
    <mergeCell ref="A2:G2"/>
    <mergeCell ref="A3:G3"/>
    <mergeCell ref="G5:G6"/>
    <mergeCell ref="A5:A6"/>
    <mergeCell ref="B5:E5"/>
    <mergeCell ref="F5:F6"/>
  </mergeCells>
  <pageMargins left="0.70866141732283472" right="0.31496062992125984" top="0.28999999999999998" bottom="0.22" header="0.17" footer="0.31"/>
  <pageSetup paperSize="9" scale="80" orientation="portrait" r:id="rId1"/>
</worksheet>
</file>

<file path=xl/worksheets/sheet8.xml><?xml version="1.0" encoding="utf-8"?>
<worksheet xmlns="http://schemas.openxmlformats.org/spreadsheetml/2006/main" xmlns:r="http://schemas.openxmlformats.org/officeDocument/2006/relationships">
  <sheetPr codeName="Лист6">
    <tabColor rgb="FF92D050"/>
  </sheetPr>
  <dimension ref="A1:F54"/>
  <sheetViews>
    <sheetView zoomScaleNormal="100" workbookViewId="0">
      <selection activeCell="F3" sqref="F3"/>
    </sheetView>
  </sheetViews>
  <sheetFormatPr defaultRowHeight="12.75"/>
  <cols>
    <col min="1" max="1" width="47.42578125" style="3" customWidth="1"/>
    <col min="2" max="2" width="8.140625" style="3" customWidth="1"/>
    <col min="3" max="3" width="10.42578125" style="3" customWidth="1"/>
    <col min="4" max="4" width="16.7109375" style="3" customWidth="1"/>
    <col min="5" max="5" width="17" style="3" customWidth="1"/>
    <col min="6" max="6" width="11.140625" style="3" customWidth="1"/>
    <col min="7" max="16384" width="9.140625" style="3"/>
  </cols>
  <sheetData>
    <row r="1" spans="1:6" ht="47.25" customHeight="1">
      <c r="A1" s="485" t="str">
        <f>"Приложение "&amp;Н1фун&amp;" к решению
Богучанского районного Совета депутатов
от "&amp;Р1дата&amp;" года №"&amp;Р1номер</f>
        <v>Приложение 4 к решению
Богучанского районного Совета депутатов
от  года №</v>
      </c>
      <c r="B1" s="485"/>
      <c r="C1" s="485"/>
      <c r="D1" s="485"/>
      <c r="E1" s="485"/>
      <c r="F1" s="485"/>
    </row>
    <row r="2" spans="1:6" ht="59.25" customHeight="1">
      <c r="A2" s="484" t="str">
        <f>"Распределение бюджетных ассигнований по разделам и подразделам бюджетной классификации расходов бюджетов Российской Федерации  за "&amp;год&amp;" год"</f>
        <v>Распределение бюджетных ассигнований по разделам и подразделам бюджетной классификации расходов бюджетов Российской Федерации  за 2022 год</v>
      </c>
      <c r="B2" s="484"/>
      <c r="C2" s="484"/>
      <c r="D2" s="484"/>
      <c r="E2" s="484"/>
      <c r="F2" s="484"/>
    </row>
    <row r="3" spans="1:6">
      <c r="F3" s="8" t="s">
        <v>69</v>
      </c>
    </row>
    <row r="4" spans="1:6" ht="12.75" customHeight="1">
      <c r="A4" s="520" t="s">
        <v>1336</v>
      </c>
      <c r="B4" s="521" t="s">
        <v>177</v>
      </c>
      <c r="C4" s="522"/>
      <c r="D4" s="518" t="s">
        <v>2264</v>
      </c>
      <c r="E4" s="511" t="s">
        <v>2265</v>
      </c>
      <c r="F4" s="511" t="s">
        <v>2263</v>
      </c>
    </row>
    <row r="5" spans="1:6">
      <c r="A5" s="520"/>
      <c r="B5" s="450" t="s">
        <v>1016</v>
      </c>
      <c r="C5" s="450" t="s">
        <v>233</v>
      </c>
      <c r="D5" s="519"/>
      <c r="E5" s="511"/>
      <c r="F5" s="511"/>
    </row>
    <row r="6" spans="1:6" s="11" customFormat="1">
      <c r="A6" s="406" t="s">
        <v>637</v>
      </c>
      <c r="B6" s="407" t="s">
        <v>1173</v>
      </c>
      <c r="C6" s="242" t="s">
        <v>1173</v>
      </c>
      <c r="D6" s="243">
        <v>3078961897.75</v>
      </c>
      <c r="E6" s="451">
        <v>2958886937.8400002</v>
      </c>
      <c r="F6" s="211">
        <f>E6/D6*100</f>
        <v>96.100147910315272</v>
      </c>
    </row>
    <row r="7" spans="1:6">
      <c r="A7" s="406" t="s">
        <v>234</v>
      </c>
      <c r="B7" s="407" t="s">
        <v>131</v>
      </c>
      <c r="C7" s="242" t="s">
        <v>127</v>
      </c>
      <c r="D7" s="243">
        <v>125599269.7</v>
      </c>
      <c r="E7" s="451">
        <v>123380054.45</v>
      </c>
      <c r="F7" s="211">
        <f t="shared" ref="F7:F54" si="0">E7/D7*100</f>
        <v>98.233098603757256</v>
      </c>
    </row>
    <row r="8" spans="1:6" ht="38.25">
      <c r="A8" s="179" t="s">
        <v>1308</v>
      </c>
      <c r="B8" s="433" t="s">
        <v>131</v>
      </c>
      <c r="C8" s="434" t="s">
        <v>223</v>
      </c>
      <c r="D8" s="435">
        <v>2003661</v>
      </c>
      <c r="E8" s="451">
        <v>1999988.55</v>
      </c>
      <c r="F8" s="211">
        <f t="shared" si="0"/>
        <v>99.816713006840985</v>
      </c>
    </row>
    <row r="9" spans="1:6" ht="51">
      <c r="A9" s="179" t="s">
        <v>67</v>
      </c>
      <c r="B9" s="433" t="s">
        <v>131</v>
      </c>
      <c r="C9" s="434" t="s">
        <v>235</v>
      </c>
      <c r="D9" s="435">
        <v>6469081.04</v>
      </c>
      <c r="E9" s="451">
        <v>6456047.8399999999</v>
      </c>
      <c r="F9" s="211">
        <f t="shared" si="0"/>
        <v>99.798530889945383</v>
      </c>
    </row>
    <row r="10" spans="1:6" ht="51">
      <c r="A10" s="179" t="s">
        <v>236</v>
      </c>
      <c r="B10" s="433" t="s">
        <v>131</v>
      </c>
      <c r="C10" s="434" t="s">
        <v>237</v>
      </c>
      <c r="D10" s="435">
        <v>81395507.549999997</v>
      </c>
      <c r="E10" s="451">
        <v>80836977.349999994</v>
      </c>
      <c r="F10" s="211">
        <f t="shared" si="0"/>
        <v>99.31380709229326</v>
      </c>
    </row>
    <row r="11" spans="1:6">
      <c r="A11" s="179" t="s">
        <v>1191</v>
      </c>
      <c r="B11" s="433" t="s">
        <v>131</v>
      </c>
      <c r="C11" s="434" t="s">
        <v>227</v>
      </c>
      <c r="D11" s="435">
        <v>218800</v>
      </c>
      <c r="E11" s="451">
        <v>218215.22</v>
      </c>
      <c r="F11" s="211">
        <f t="shared" si="0"/>
        <v>99.732733089579526</v>
      </c>
    </row>
    <row r="12" spans="1:6" ht="38.25">
      <c r="A12" s="179" t="s">
        <v>216</v>
      </c>
      <c r="B12" s="433" t="s">
        <v>131</v>
      </c>
      <c r="C12" s="434" t="s">
        <v>228</v>
      </c>
      <c r="D12" s="435">
        <v>22981276.870000001</v>
      </c>
      <c r="E12" s="451">
        <v>22795727.789999999</v>
      </c>
      <c r="F12" s="211">
        <f t="shared" si="0"/>
        <v>99.192607612494243</v>
      </c>
    </row>
    <row r="13" spans="1:6">
      <c r="A13" s="179" t="s">
        <v>60</v>
      </c>
      <c r="B13" s="433" t="s">
        <v>131</v>
      </c>
      <c r="C13" s="434" t="s">
        <v>27</v>
      </c>
      <c r="D13" s="435">
        <v>1215323.6299999999</v>
      </c>
      <c r="E13" s="452">
        <v>0</v>
      </c>
      <c r="F13" s="211">
        <f t="shared" si="0"/>
        <v>0</v>
      </c>
    </row>
    <row r="14" spans="1:6">
      <c r="A14" s="179" t="s">
        <v>217</v>
      </c>
      <c r="B14" s="433" t="s">
        <v>131</v>
      </c>
      <c r="C14" s="434" t="s">
        <v>71</v>
      </c>
      <c r="D14" s="435">
        <v>11315619.609999999</v>
      </c>
      <c r="E14" s="451">
        <v>11073097.699999999</v>
      </c>
      <c r="F14" s="211">
        <f t="shared" si="0"/>
        <v>97.856750948170117</v>
      </c>
    </row>
    <row r="15" spans="1:6">
      <c r="A15" s="406" t="s">
        <v>187</v>
      </c>
      <c r="B15" s="407" t="s">
        <v>223</v>
      </c>
      <c r="C15" s="242" t="s">
        <v>127</v>
      </c>
      <c r="D15" s="243">
        <v>5647725.2999999998</v>
      </c>
      <c r="E15" s="451">
        <v>5611837.9299999997</v>
      </c>
      <c r="F15" s="211">
        <f t="shared" si="0"/>
        <v>99.364569484284232</v>
      </c>
    </row>
    <row r="16" spans="1:6">
      <c r="A16" s="179" t="s">
        <v>188</v>
      </c>
      <c r="B16" s="433" t="s">
        <v>223</v>
      </c>
      <c r="C16" s="434" t="s">
        <v>235</v>
      </c>
      <c r="D16" s="435">
        <v>5647725.2999999998</v>
      </c>
      <c r="E16" s="451">
        <v>5611837.9299999997</v>
      </c>
      <c r="F16" s="211">
        <f t="shared" si="0"/>
        <v>99.364569484284232</v>
      </c>
    </row>
    <row r="17" spans="1:6" ht="25.5">
      <c r="A17" s="406" t="s">
        <v>238</v>
      </c>
      <c r="B17" s="407" t="s">
        <v>235</v>
      </c>
      <c r="C17" s="242" t="s">
        <v>127</v>
      </c>
      <c r="D17" s="243">
        <v>40308816.829999998</v>
      </c>
      <c r="E17" s="451">
        <v>39007537.630000003</v>
      </c>
      <c r="F17" s="211">
        <f t="shared" si="0"/>
        <v>96.771725636383565</v>
      </c>
    </row>
    <row r="18" spans="1:6" ht="38.25">
      <c r="A18" s="179" t="s">
        <v>1705</v>
      </c>
      <c r="B18" s="433" t="s">
        <v>235</v>
      </c>
      <c r="C18" s="434" t="s">
        <v>192</v>
      </c>
      <c r="D18" s="435">
        <v>40308816.829999998</v>
      </c>
      <c r="E18" s="451">
        <v>39007537.630000003</v>
      </c>
      <c r="F18" s="211">
        <f t="shared" si="0"/>
        <v>96.771725636383565</v>
      </c>
    </row>
    <row r="19" spans="1:6">
      <c r="A19" s="406" t="s">
        <v>183</v>
      </c>
      <c r="B19" s="407" t="s">
        <v>237</v>
      </c>
      <c r="C19" s="242" t="s">
        <v>127</v>
      </c>
      <c r="D19" s="243">
        <v>106260293.22</v>
      </c>
      <c r="E19" s="451">
        <v>104926148.38</v>
      </c>
      <c r="F19" s="211">
        <f t="shared" si="0"/>
        <v>98.74445590203878</v>
      </c>
    </row>
    <row r="20" spans="1:6">
      <c r="A20" s="179" t="s">
        <v>184</v>
      </c>
      <c r="B20" s="433" t="s">
        <v>237</v>
      </c>
      <c r="C20" s="434" t="s">
        <v>227</v>
      </c>
      <c r="D20" s="435">
        <v>1981117</v>
      </c>
      <c r="E20" s="451">
        <v>1907634.95</v>
      </c>
      <c r="F20" s="211">
        <f t="shared" si="0"/>
        <v>96.290877822965527</v>
      </c>
    </row>
    <row r="21" spans="1:6">
      <c r="A21" s="179" t="s">
        <v>1661</v>
      </c>
      <c r="B21" s="433" t="s">
        <v>237</v>
      </c>
      <c r="C21" s="434" t="s">
        <v>23</v>
      </c>
      <c r="D21" s="435">
        <v>2133700</v>
      </c>
      <c r="E21" s="451">
        <v>1248775.22</v>
      </c>
      <c r="F21" s="211">
        <f t="shared" si="0"/>
        <v>58.526279233256787</v>
      </c>
    </row>
    <row r="22" spans="1:6">
      <c r="A22" s="179" t="s">
        <v>185</v>
      </c>
      <c r="B22" s="433" t="s">
        <v>237</v>
      </c>
      <c r="C22" s="434" t="s">
        <v>31</v>
      </c>
      <c r="D22" s="435">
        <v>71891939.340000004</v>
      </c>
      <c r="E22" s="451">
        <v>71891939.329999998</v>
      </c>
      <c r="F22" s="211">
        <f t="shared" si="0"/>
        <v>99.999999986090231</v>
      </c>
    </row>
    <row r="23" spans="1:6">
      <c r="A23" s="179" t="s">
        <v>252</v>
      </c>
      <c r="B23" s="433" t="s">
        <v>237</v>
      </c>
      <c r="C23" s="434" t="s">
        <v>26</v>
      </c>
      <c r="D23" s="435">
        <v>15295950</v>
      </c>
      <c r="E23" s="451">
        <v>15287712</v>
      </c>
      <c r="F23" s="211">
        <f t="shared" si="0"/>
        <v>99.946142606376199</v>
      </c>
    </row>
    <row r="24" spans="1:6">
      <c r="A24" s="179" t="s">
        <v>145</v>
      </c>
      <c r="B24" s="433" t="s">
        <v>237</v>
      </c>
      <c r="C24" s="434" t="s">
        <v>199</v>
      </c>
      <c r="D24" s="435">
        <v>14957586.880000001</v>
      </c>
      <c r="E24" s="451">
        <v>14590086.880000001</v>
      </c>
      <c r="F24" s="211">
        <f t="shared" si="0"/>
        <v>97.543052880465694</v>
      </c>
    </row>
    <row r="25" spans="1:6">
      <c r="A25" s="406" t="s">
        <v>239</v>
      </c>
      <c r="B25" s="407" t="s">
        <v>227</v>
      </c>
      <c r="C25" s="242" t="s">
        <v>127</v>
      </c>
      <c r="D25" s="243">
        <v>477198509.38999999</v>
      </c>
      <c r="E25" s="451">
        <v>417339324.14999998</v>
      </c>
      <c r="F25" s="211">
        <f t="shared" si="0"/>
        <v>87.45612484906593</v>
      </c>
    </row>
    <row r="26" spans="1:6">
      <c r="A26" s="179" t="s">
        <v>3</v>
      </c>
      <c r="B26" s="433" t="s">
        <v>227</v>
      </c>
      <c r="C26" s="434" t="s">
        <v>131</v>
      </c>
      <c r="D26" s="435">
        <v>1876680.28</v>
      </c>
      <c r="E26" s="451">
        <v>1876680.28</v>
      </c>
      <c r="F26" s="211">
        <f t="shared" si="0"/>
        <v>100</v>
      </c>
    </row>
    <row r="27" spans="1:6">
      <c r="A27" s="179" t="s">
        <v>146</v>
      </c>
      <c r="B27" s="433" t="s">
        <v>227</v>
      </c>
      <c r="C27" s="434" t="s">
        <v>223</v>
      </c>
      <c r="D27" s="435">
        <v>460954833.17000002</v>
      </c>
      <c r="E27" s="451">
        <v>402006716.97000003</v>
      </c>
      <c r="F27" s="211">
        <f t="shared" si="0"/>
        <v>87.211737038396578</v>
      </c>
    </row>
    <row r="28" spans="1:6">
      <c r="A28" s="179" t="s">
        <v>37</v>
      </c>
      <c r="B28" s="433" t="s">
        <v>227</v>
      </c>
      <c r="C28" s="434" t="s">
        <v>235</v>
      </c>
      <c r="D28" s="435">
        <v>4593800</v>
      </c>
      <c r="E28" s="451">
        <v>3731369.8</v>
      </c>
      <c r="F28" s="211">
        <f t="shared" si="0"/>
        <v>81.226213592233009</v>
      </c>
    </row>
    <row r="29" spans="1:6" ht="25.5">
      <c r="A29" s="179" t="s">
        <v>151</v>
      </c>
      <c r="B29" s="433" t="s">
        <v>227</v>
      </c>
      <c r="C29" s="434" t="s">
        <v>227</v>
      </c>
      <c r="D29" s="435">
        <v>9773195.9399999995</v>
      </c>
      <c r="E29" s="451">
        <v>9724557.0999999996</v>
      </c>
      <c r="F29" s="211">
        <f t="shared" si="0"/>
        <v>99.502324108729582</v>
      </c>
    </row>
    <row r="30" spans="1:6">
      <c r="A30" s="406" t="s">
        <v>1646</v>
      </c>
      <c r="B30" s="407" t="s">
        <v>228</v>
      </c>
      <c r="C30" s="242" t="s">
        <v>127</v>
      </c>
      <c r="D30" s="243">
        <v>6216147</v>
      </c>
      <c r="E30" s="451">
        <v>2413243.67</v>
      </c>
      <c r="F30" s="211">
        <f t="shared" si="0"/>
        <v>38.822178272167626</v>
      </c>
    </row>
    <row r="31" spans="1:6" ht="25.5">
      <c r="A31" s="179" t="s">
        <v>1713</v>
      </c>
      <c r="B31" s="433" t="s">
        <v>228</v>
      </c>
      <c r="C31" s="434" t="s">
        <v>235</v>
      </c>
      <c r="D31" s="435">
        <v>1823377</v>
      </c>
      <c r="E31" s="451">
        <v>1823064.22</v>
      </c>
      <c r="F31" s="211">
        <f t="shared" si="0"/>
        <v>99.982846114654294</v>
      </c>
    </row>
    <row r="32" spans="1:6" ht="25.5">
      <c r="A32" s="179" t="s">
        <v>1648</v>
      </c>
      <c r="B32" s="433" t="s">
        <v>228</v>
      </c>
      <c r="C32" s="434" t="s">
        <v>227</v>
      </c>
      <c r="D32" s="435">
        <v>4392770</v>
      </c>
      <c r="E32" s="451">
        <v>590179.44999999995</v>
      </c>
      <c r="F32" s="211">
        <f t="shared" si="0"/>
        <v>13.43524586991807</v>
      </c>
    </row>
    <row r="33" spans="1:6">
      <c r="A33" s="406" t="s">
        <v>140</v>
      </c>
      <c r="B33" s="407" t="s">
        <v>23</v>
      </c>
      <c r="C33" s="242" t="s">
        <v>127</v>
      </c>
      <c r="D33" s="243">
        <v>1760126178.3499999</v>
      </c>
      <c r="E33" s="451">
        <v>1725554932.05</v>
      </c>
      <c r="F33" s="211">
        <f t="shared" si="0"/>
        <v>98.035865455259113</v>
      </c>
    </row>
    <row r="34" spans="1:6">
      <c r="A34" s="179" t="s">
        <v>152</v>
      </c>
      <c r="B34" s="433" t="s">
        <v>23</v>
      </c>
      <c r="C34" s="434" t="s">
        <v>131</v>
      </c>
      <c r="D34" s="435">
        <v>524713554.77999997</v>
      </c>
      <c r="E34" s="451">
        <v>513691938.77999997</v>
      </c>
      <c r="F34" s="211">
        <f t="shared" si="0"/>
        <v>97.899498516934429</v>
      </c>
    </row>
    <row r="35" spans="1:6">
      <c r="A35" s="179" t="s">
        <v>153</v>
      </c>
      <c r="B35" s="433" t="s">
        <v>23</v>
      </c>
      <c r="C35" s="434" t="s">
        <v>223</v>
      </c>
      <c r="D35" s="435">
        <v>954265782.86000001</v>
      </c>
      <c r="E35" s="451">
        <v>939570428.66999996</v>
      </c>
      <c r="F35" s="211">
        <f t="shared" si="0"/>
        <v>98.460035510656468</v>
      </c>
    </row>
    <row r="36" spans="1:6">
      <c r="A36" s="179" t="s">
        <v>1077</v>
      </c>
      <c r="B36" s="433" t="s">
        <v>23</v>
      </c>
      <c r="C36" s="434" t="s">
        <v>235</v>
      </c>
      <c r="D36" s="435">
        <v>134510972.41</v>
      </c>
      <c r="E36" s="451">
        <v>133430539.47</v>
      </c>
      <c r="F36" s="211">
        <f t="shared" si="0"/>
        <v>99.196769660762868</v>
      </c>
    </row>
    <row r="37" spans="1:6">
      <c r="A37" s="179" t="s">
        <v>1075</v>
      </c>
      <c r="B37" s="433" t="s">
        <v>23</v>
      </c>
      <c r="C37" s="434" t="s">
        <v>23</v>
      </c>
      <c r="D37" s="435">
        <v>41960679.490000002</v>
      </c>
      <c r="E37" s="451">
        <v>36051554.259999998</v>
      </c>
      <c r="F37" s="211">
        <f t="shared" si="0"/>
        <v>85.917470112922615</v>
      </c>
    </row>
    <row r="38" spans="1:6">
      <c r="A38" s="179" t="s">
        <v>4</v>
      </c>
      <c r="B38" s="433" t="s">
        <v>23</v>
      </c>
      <c r="C38" s="434" t="s">
        <v>26</v>
      </c>
      <c r="D38" s="435">
        <v>104675188.81</v>
      </c>
      <c r="E38" s="451">
        <v>102810470.87</v>
      </c>
      <c r="F38" s="211">
        <f t="shared" si="0"/>
        <v>98.218567397681298</v>
      </c>
    </row>
    <row r="39" spans="1:6">
      <c r="A39" s="406" t="s">
        <v>249</v>
      </c>
      <c r="B39" s="407" t="s">
        <v>31</v>
      </c>
      <c r="C39" s="242" t="s">
        <v>127</v>
      </c>
      <c r="D39" s="243">
        <v>296232222.67000002</v>
      </c>
      <c r="E39" s="451">
        <v>291599663.54000002</v>
      </c>
      <c r="F39" s="211">
        <f t="shared" si="0"/>
        <v>98.436173118425202</v>
      </c>
    </row>
    <row r="40" spans="1:6">
      <c r="A40" s="179" t="s">
        <v>209</v>
      </c>
      <c r="B40" s="433" t="s">
        <v>31</v>
      </c>
      <c r="C40" s="434" t="s">
        <v>131</v>
      </c>
      <c r="D40" s="435">
        <v>182870610.22</v>
      </c>
      <c r="E40" s="451">
        <v>178659279.06</v>
      </c>
      <c r="F40" s="211">
        <f t="shared" si="0"/>
        <v>97.697097879788558</v>
      </c>
    </row>
    <row r="41" spans="1:6" ht="25.5">
      <c r="A41" s="179" t="s">
        <v>0</v>
      </c>
      <c r="B41" s="433" t="s">
        <v>31</v>
      </c>
      <c r="C41" s="434" t="s">
        <v>237</v>
      </c>
      <c r="D41" s="435">
        <v>113361612.45</v>
      </c>
      <c r="E41" s="451">
        <v>112940384.48</v>
      </c>
      <c r="F41" s="211">
        <f t="shared" si="0"/>
        <v>99.62842097876316</v>
      </c>
    </row>
    <row r="42" spans="1:6">
      <c r="A42" s="406" t="s">
        <v>2159</v>
      </c>
      <c r="B42" s="407" t="s">
        <v>26</v>
      </c>
      <c r="C42" s="242" t="s">
        <v>127</v>
      </c>
      <c r="D42" s="243">
        <v>60210</v>
      </c>
      <c r="E42" s="451">
        <v>60210</v>
      </c>
      <c r="F42" s="211">
        <f t="shared" si="0"/>
        <v>100</v>
      </c>
    </row>
    <row r="43" spans="1:6">
      <c r="A43" s="179" t="s">
        <v>2161</v>
      </c>
      <c r="B43" s="433" t="s">
        <v>26</v>
      </c>
      <c r="C43" s="434" t="s">
        <v>26</v>
      </c>
      <c r="D43" s="435">
        <v>60210</v>
      </c>
      <c r="E43" s="451">
        <v>60210</v>
      </c>
      <c r="F43" s="211">
        <f t="shared" si="0"/>
        <v>100</v>
      </c>
    </row>
    <row r="44" spans="1:6">
      <c r="A44" s="406" t="s">
        <v>141</v>
      </c>
      <c r="B44" s="407" t="s">
        <v>192</v>
      </c>
      <c r="C44" s="242" t="s">
        <v>127</v>
      </c>
      <c r="D44" s="243">
        <v>68545806.230000004</v>
      </c>
      <c r="E44" s="451">
        <v>64104752.869999997</v>
      </c>
      <c r="F44" s="211">
        <f t="shared" si="0"/>
        <v>93.521042928434738</v>
      </c>
    </row>
    <row r="45" spans="1:6">
      <c r="A45" s="179" t="s">
        <v>97</v>
      </c>
      <c r="B45" s="433" t="s">
        <v>192</v>
      </c>
      <c r="C45" s="434" t="s">
        <v>131</v>
      </c>
      <c r="D45" s="435">
        <v>5167942</v>
      </c>
      <c r="E45" s="451">
        <v>5165527.3899999997</v>
      </c>
      <c r="F45" s="211">
        <f t="shared" si="0"/>
        <v>99.953277145912239</v>
      </c>
    </row>
    <row r="46" spans="1:6">
      <c r="A46" s="179" t="s">
        <v>98</v>
      </c>
      <c r="B46" s="433" t="s">
        <v>192</v>
      </c>
      <c r="C46" s="434" t="s">
        <v>235</v>
      </c>
      <c r="D46" s="435">
        <v>60615984.229999997</v>
      </c>
      <c r="E46" s="451">
        <v>56202615.82</v>
      </c>
      <c r="F46" s="211">
        <f t="shared" si="0"/>
        <v>92.719134290958621</v>
      </c>
    </row>
    <row r="47" spans="1:6">
      <c r="A47" s="179" t="s">
        <v>18</v>
      </c>
      <c r="B47" s="433" t="s">
        <v>192</v>
      </c>
      <c r="C47" s="434" t="s">
        <v>237</v>
      </c>
      <c r="D47" s="435">
        <v>1488880</v>
      </c>
      <c r="E47" s="451">
        <v>1488809.66</v>
      </c>
      <c r="F47" s="211">
        <f t="shared" si="0"/>
        <v>99.995275643436671</v>
      </c>
    </row>
    <row r="48" spans="1:6">
      <c r="A48" s="179" t="s">
        <v>63</v>
      </c>
      <c r="B48" s="433" t="s">
        <v>192</v>
      </c>
      <c r="C48" s="434" t="s">
        <v>228</v>
      </c>
      <c r="D48" s="435">
        <v>1273000</v>
      </c>
      <c r="E48" s="451">
        <v>1247800</v>
      </c>
      <c r="F48" s="211">
        <f t="shared" si="0"/>
        <v>98.020424194815391</v>
      </c>
    </row>
    <row r="49" spans="1:6">
      <c r="A49" s="406" t="s">
        <v>248</v>
      </c>
      <c r="B49" s="407" t="s">
        <v>27</v>
      </c>
      <c r="C49" s="242" t="s">
        <v>127</v>
      </c>
      <c r="D49" s="243">
        <v>33575321.060000002</v>
      </c>
      <c r="E49" s="451">
        <v>32771084.670000002</v>
      </c>
      <c r="F49" s="211">
        <f t="shared" si="0"/>
        <v>97.604679971450437</v>
      </c>
    </row>
    <row r="50" spans="1:6">
      <c r="A50" s="179" t="s">
        <v>1228</v>
      </c>
      <c r="B50" s="433" t="s">
        <v>27</v>
      </c>
      <c r="C50" s="434" t="s">
        <v>131</v>
      </c>
      <c r="D50" s="435">
        <v>21424625.27</v>
      </c>
      <c r="E50" s="451">
        <v>20737148.309999999</v>
      </c>
      <c r="F50" s="211">
        <f t="shared" si="0"/>
        <v>96.791183270016646</v>
      </c>
    </row>
    <row r="51" spans="1:6">
      <c r="A51" s="179" t="s">
        <v>210</v>
      </c>
      <c r="B51" s="433" t="s">
        <v>27</v>
      </c>
      <c r="C51" s="434" t="s">
        <v>223</v>
      </c>
      <c r="D51" s="435">
        <v>12150695.789999999</v>
      </c>
      <c r="E51" s="451">
        <v>12033936.359999999</v>
      </c>
      <c r="F51" s="211">
        <f t="shared" si="0"/>
        <v>99.039072066176715</v>
      </c>
    </row>
    <row r="52" spans="1:6" ht="38.25">
      <c r="A52" s="406" t="s">
        <v>1155</v>
      </c>
      <c r="B52" s="407" t="s">
        <v>73</v>
      </c>
      <c r="C52" s="242" t="s">
        <v>127</v>
      </c>
      <c r="D52" s="243">
        <v>159191398</v>
      </c>
      <c r="E52" s="451">
        <v>152118148.5</v>
      </c>
      <c r="F52" s="211">
        <f t="shared" si="0"/>
        <v>95.556764003039916</v>
      </c>
    </row>
    <row r="53" spans="1:6" ht="38.25">
      <c r="A53" s="179" t="s">
        <v>211</v>
      </c>
      <c r="B53" s="433" t="s">
        <v>73</v>
      </c>
      <c r="C53" s="434" t="s">
        <v>131</v>
      </c>
      <c r="D53" s="435">
        <v>97389400</v>
      </c>
      <c r="E53" s="451">
        <v>97389400</v>
      </c>
      <c r="F53" s="211">
        <f t="shared" si="0"/>
        <v>100</v>
      </c>
    </row>
    <row r="54" spans="1:6" ht="25.5">
      <c r="A54" s="179" t="s">
        <v>250</v>
      </c>
      <c r="B54" s="433" t="s">
        <v>73</v>
      </c>
      <c r="C54" s="434" t="s">
        <v>235</v>
      </c>
      <c r="D54" s="435">
        <v>61801998</v>
      </c>
      <c r="E54" s="451">
        <v>54728748.5</v>
      </c>
      <c r="F54" s="211">
        <f t="shared" si="0"/>
        <v>88.554982478074578</v>
      </c>
    </row>
  </sheetData>
  <autoFilter ref="A5:D53"/>
  <mergeCells count="7">
    <mergeCell ref="E4:E5"/>
    <mergeCell ref="F4:F5"/>
    <mergeCell ref="A1:F1"/>
    <mergeCell ref="A2:F2"/>
    <mergeCell ref="A4:A5"/>
    <mergeCell ref="B4:C4"/>
    <mergeCell ref="D4:D5"/>
  </mergeCells>
  <phoneticPr fontId="0" type="noConversion"/>
  <pageMargins left="0.78740157480314965" right="0.23622047244094491" top="0.19685039370078741" bottom="0.19685039370078741" header="0.15748031496062992" footer="0.15748031496062992"/>
  <pageSetup paperSize="9" scale="80" fitToHeight="0" orientation="portrait" r:id="rId1"/>
  <headerFooter alignWithMargins="0"/>
</worksheet>
</file>

<file path=xl/worksheets/sheet9.xml><?xml version="1.0" encoding="utf-8"?>
<worksheet xmlns="http://schemas.openxmlformats.org/spreadsheetml/2006/main" xmlns:r="http://schemas.openxmlformats.org/officeDocument/2006/relationships">
  <dimension ref="A1:G54"/>
  <sheetViews>
    <sheetView zoomScaleNormal="100" workbookViewId="0">
      <selection activeCell="D8" sqref="D8"/>
    </sheetView>
  </sheetViews>
  <sheetFormatPr defaultRowHeight="12.75"/>
  <cols>
    <col min="1" max="1" width="40.85546875" style="3" customWidth="1"/>
    <col min="2" max="2" width="9" style="3" customWidth="1"/>
    <col min="3" max="3" width="7.5703125" style="3" customWidth="1"/>
    <col min="4" max="4" width="20.140625" style="3" customWidth="1"/>
    <col min="5" max="5" width="20.140625" style="19" customWidth="1"/>
    <col min="6" max="6" width="9.140625" style="3"/>
    <col min="7" max="7" width="19.28515625" style="3" customWidth="1"/>
    <col min="8" max="16384" width="9.140625" style="3"/>
  </cols>
  <sheetData>
    <row r="1" spans="1:7" ht="44.25" customHeight="1">
      <c r="A1" s="485" t="str">
        <f>"Приложение №"&amp;Н2фун1&amp;"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85"/>
      <c r="C1" s="485"/>
      <c r="D1" s="485"/>
      <c r="E1" s="485"/>
    </row>
    <row r="2" spans="1:7" ht="47.25" customHeight="1">
      <c r="A2" s="485" t="str">
        <f>"Приложение "&amp;Н1фун1&amp;" к решению
Богучанского районного Совета депутатов
от "&amp;Р1дата&amp;" года №"&amp;Р1номер</f>
        <v>Приложение  к решению
Богучанского районного Совета депутатов
от  года №</v>
      </c>
      <c r="B2" s="485"/>
      <c r="C2" s="485"/>
      <c r="D2" s="485"/>
      <c r="E2" s="485"/>
    </row>
    <row r="3" spans="1:7" ht="65.25" customHeight="1">
      <c r="A3" s="484" t="str">
        <f>"Распределение  бюджетных ассигнований по разделам и подразделам бюджетной классификации расходов бюджетов Российской Федерации  на  плановый период "&amp;ПлПер&amp;" годов"</f>
        <v>Распределение  бюджетных ассигнований по разделам и подразделам бюджетной классификации расходов бюджетов Российской Федерации  на  плановый период 2023-2024 годов</v>
      </c>
      <c r="B3" s="484"/>
      <c r="C3" s="484"/>
      <c r="D3" s="484"/>
      <c r="E3" s="484"/>
      <c r="G3" s="153"/>
    </row>
    <row r="4" spans="1:7">
      <c r="E4" s="8" t="s">
        <v>69</v>
      </c>
    </row>
    <row r="5" spans="1:7" ht="12.75" customHeight="1">
      <c r="A5" s="520" t="s">
        <v>232</v>
      </c>
      <c r="B5" s="523" t="s">
        <v>177</v>
      </c>
      <c r="C5" s="523"/>
      <c r="D5" s="520" t="s">
        <v>1741</v>
      </c>
      <c r="E5" s="520" t="s">
        <v>1837</v>
      </c>
    </row>
    <row r="6" spans="1:7" ht="25.5" customHeight="1">
      <c r="A6" s="520"/>
      <c r="B6" s="239" t="s">
        <v>1016</v>
      </c>
      <c r="C6" s="51" t="s">
        <v>233</v>
      </c>
      <c r="D6" s="520"/>
      <c r="E6" s="520"/>
    </row>
    <row r="7" spans="1:7" s="11" customFormat="1">
      <c r="A7" s="406" t="s">
        <v>1195</v>
      </c>
      <c r="B7" s="408" t="s">
        <v>1173</v>
      </c>
      <c r="C7" s="317" t="s">
        <v>1173</v>
      </c>
      <c r="D7" s="409">
        <f>2341736603.34+30000000</f>
        <v>2371736603.3400002</v>
      </c>
      <c r="E7" s="409">
        <f>2296899854.25+63000000</f>
        <v>2359899854.25</v>
      </c>
    </row>
    <row r="8" spans="1:7">
      <c r="A8" s="406" t="s">
        <v>234</v>
      </c>
      <c r="B8" s="408" t="s">
        <v>131</v>
      </c>
      <c r="C8" s="317" t="s">
        <v>127</v>
      </c>
      <c r="D8" s="409">
        <v>115450540.86</v>
      </c>
      <c r="E8" s="409">
        <v>116017950.86</v>
      </c>
    </row>
    <row r="9" spans="1:7" ht="38.25">
      <c r="A9" s="51" t="s">
        <v>1308</v>
      </c>
      <c r="B9" s="410" t="s">
        <v>131</v>
      </c>
      <c r="C9" s="148" t="s">
        <v>223</v>
      </c>
      <c r="D9" s="411">
        <v>2544341</v>
      </c>
      <c r="E9" s="411">
        <v>2544341</v>
      </c>
    </row>
    <row r="10" spans="1:7" ht="51">
      <c r="A10" s="51" t="s">
        <v>67</v>
      </c>
      <c r="B10" s="410" t="s">
        <v>131</v>
      </c>
      <c r="C10" s="148" t="s">
        <v>235</v>
      </c>
      <c r="D10" s="411">
        <v>7274170</v>
      </c>
      <c r="E10" s="411">
        <v>7274170</v>
      </c>
    </row>
    <row r="11" spans="1:7" ht="63.75">
      <c r="A11" s="51" t="s">
        <v>236</v>
      </c>
      <c r="B11" s="410" t="s">
        <v>131</v>
      </c>
      <c r="C11" s="148" t="s">
        <v>237</v>
      </c>
      <c r="D11" s="411">
        <v>70441508.859999999</v>
      </c>
      <c r="E11" s="411">
        <v>71009618.859999999</v>
      </c>
    </row>
    <row r="12" spans="1:7">
      <c r="A12" s="51" t="s">
        <v>1191</v>
      </c>
      <c r="B12" s="410" t="s">
        <v>131</v>
      </c>
      <c r="C12" s="148" t="s">
        <v>227</v>
      </c>
      <c r="D12" s="411">
        <v>6500</v>
      </c>
      <c r="E12" s="411">
        <v>5800</v>
      </c>
    </row>
    <row r="13" spans="1:7" ht="51">
      <c r="A13" s="51" t="s">
        <v>216</v>
      </c>
      <c r="B13" s="410" t="s">
        <v>131</v>
      </c>
      <c r="C13" s="148" t="s">
        <v>228</v>
      </c>
      <c r="D13" s="411">
        <v>22521500</v>
      </c>
      <c r="E13" s="411">
        <v>22521500</v>
      </c>
    </row>
    <row r="14" spans="1:7">
      <c r="A14" s="51" t="s">
        <v>60</v>
      </c>
      <c r="B14" s="410" t="s">
        <v>131</v>
      </c>
      <c r="C14" s="148" t="s">
        <v>27</v>
      </c>
      <c r="D14" s="411">
        <v>2000000</v>
      </c>
      <c r="E14" s="411">
        <v>2000000</v>
      </c>
    </row>
    <row r="15" spans="1:7">
      <c r="A15" s="51" t="s">
        <v>217</v>
      </c>
      <c r="B15" s="410" t="s">
        <v>131</v>
      </c>
      <c r="C15" s="148" t="s">
        <v>71</v>
      </c>
      <c r="D15" s="411">
        <v>10662521</v>
      </c>
      <c r="E15" s="411">
        <v>10662521</v>
      </c>
    </row>
    <row r="16" spans="1:7">
      <c r="A16" s="406" t="s">
        <v>187</v>
      </c>
      <c r="B16" s="408" t="s">
        <v>223</v>
      </c>
      <c r="C16" s="317" t="s">
        <v>127</v>
      </c>
      <c r="D16" s="409">
        <v>5633700</v>
      </c>
      <c r="E16" s="409">
        <v>5842500</v>
      </c>
    </row>
    <row r="17" spans="1:5" ht="25.5">
      <c r="A17" s="51" t="s">
        <v>188</v>
      </c>
      <c r="B17" s="410" t="s">
        <v>223</v>
      </c>
      <c r="C17" s="148" t="s">
        <v>235</v>
      </c>
      <c r="D17" s="411">
        <v>5633700</v>
      </c>
      <c r="E17" s="411">
        <v>5842500</v>
      </c>
    </row>
    <row r="18" spans="1:5" ht="25.5">
      <c r="A18" s="406" t="s">
        <v>238</v>
      </c>
      <c r="B18" s="408" t="s">
        <v>235</v>
      </c>
      <c r="C18" s="317" t="s">
        <v>127</v>
      </c>
      <c r="D18" s="409">
        <v>37482230.140000001</v>
      </c>
      <c r="E18" s="409">
        <v>37482230.140000001</v>
      </c>
    </row>
    <row r="19" spans="1:5" ht="51">
      <c r="A19" s="51" t="s">
        <v>1705</v>
      </c>
      <c r="B19" s="410" t="s">
        <v>235</v>
      </c>
      <c r="C19" s="148" t="s">
        <v>192</v>
      </c>
      <c r="D19" s="411">
        <v>35782230.140000001</v>
      </c>
      <c r="E19" s="411">
        <v>35782230.140000001</v>
      </c>
    </row>
    <row r="20" spans="1:5" ht="38.25">
      <c r="A20" s="51" t="s">
        <v>1840</v>
      </c>
      <c r="B20" s="410" t="s">
        <v>235</v>
      </c>
      <c r="C20" s="148" t="s">
        <v>73</v>
      </c>
      <c r="D20" s="411">
        <v>1700000</v>
      </c>
      <c r="E20" s="411">
        <v>1700000</v>
      </c>
    </row>
    <row r="21" spans="1:5">
      <c r="A21" s="406" t="s">
        <v>183</v>
      </c>
      <c r="B21" s="408" t="s">
        <v>237</v>
      </c>
      <c r="C21" s="317" t="s">
        <v>127</v>
      </c>
      <c r="D21" s="409">
        <v>66382650</v>
      </c>
      <c r="E21" s="409">
        <v>79384750</v>
      </c>
    </row>
    <row r="22" spans="1:5">
      <c r="A22" s="51" t="s">
        <v>184</v>
      </c>
      <c r="B22" s="410" t="s">
        <v>237</v>
      </c>
      <c r="C22" s="148" t="s">
        <v>227</v>
      </c>
      <c r="D22" s="411">
        <v>1752200</v>
      </c>
      <c r="E22" s="411">
        <v>1752200</v>
      </c>
    </row>
    <row r="23" spans="1:5">
      <c r="A23" s="51" t="s">
        <v>1661</v>
      </c>
      <c r="B23" s="410" t="s">
        <v>237</v>
      </c>
      <c r="C23" s="148" t="s">
        <v>23</v>
      </c>
      <c r="D23" s="411">
        <v>1887000</v>
      </c>
      <c r="E23" s="411">
        <v>1887000</v>
      </c>
    </row>
    <row r="24" spans="1:5">
      <c r="A24" s="51" t="s">
        <v>185</v>
      </c>
      <c r="B24" s="410" t="s">
        <v>237</v>
      </c>
      <c r="C24" s="148" t="s">
        <v>31</v>
      </c>
      <c r="D24" s="411">
        <v>54406400</v>
      </c>
      <c r="E24" s="411">
        <v>67406400</v>
      </c>
    </row>
    <row r="25" spans="1:5">
      <c r="A25" s="51" t="s">
        <v>252</v>
      </c>
      <c r="B25" s="410" t="s">
        <v>237</v>
      </c>
      <c r="C25" s="148" t="s">
        <v>26</v>
      </c>
      <c r="D25" s="411">
        <v>5054050</v>
      </c>
      <c r="E25" s="411">
        <v>5056150</v>
      </c>
    </row>
    <row r="26" spans="1:5" ht="25.5">
      <c r="A26" s="51" t="s">
        <v>145</v>
      </c>
      <c r="B26" s="410" t="s">
        <v>237</v>
      </c>
      <c r="C26" s="148" t="s">
        <v>199</v>
      </c>
      <c r="D26" s="411">
        <v>3283000</v>
      </c>
      <c r="E26" s="411">
        <v>3283000</v>
      </c>
    </row>
    <row r="27" spans="1:5">
      <c r="A27" s="406" t="s">
        <v>239</v>
      </c>
      <c r="B27" s="408" t="s">
        <v>227</v>
      </c>
      <c r="C27" s="317" t="s">
        <v>127</v>
      </c>
      <c r="D27" s="409">
        <v>256406451</v>
      </c>
      <c r="E27" s="409">
        <v>256406451</v>
      </c>
    </row>
    <row r="28" spans="1:5">
      <c r="A28" s="51" t="s">
        <v>3</v>
      </c>
      <c r="B28" s="410" t="s">
        <v>227</v>
      </c>
      <c r="C28" s="148" t="s">
        <v>131</v>
      </c>
      <c r="D28" s="411">
        <v>1229454</v>
      </c>
      <c r="E28" s="411">
        <v>1229454</v>
      </c>
    </row>
    <row r="29" spans="1:5">
      <c r="A29" s="51" t="s">
        <v>146</v>
      </c>
      <c r="B29" s="410" t="s">
        <v>227</v>
      </c>
      <c r="C29" s="148" t="s">
        <v>223</v>
      </c>
      <c r="D29" s="411">
        <v>249677797</v>
      </c>
      <c r="E29" s="411">
        <v>249677797</v>
      </c>
    </row>
    <row r="30" spans="1:5" ht="25.5">
      <c r="A30" s="51" t="s">
        <v>151</v>
      </c>
      <c r="B30" s="410" t="s">
        <v>227</v>
      </c>
      <c r="C30" s="148" t="s">
        <v>227</v>
      </c>
      <c r="D30" s="411">
        <v>5499200</v>
      </c>
      <c r="E30" s="411">
        <v>5499200</v>
      </c>
    </row>
    <row r="31" spans="1:5">
      <c r="A31" s="406" t="s">
        <v>1646</v>
      </c>
      <c r="B31" s="408" t="s">
        <v>228</v>
      </c>
      <c r="C31" s="317" t="s">
        <v>127</v>
      </c>
      <c r="D31" s="409">
        <v>786000</v>
      </c>
      <c r="E31" s="409">
        <v>786000</v>
      </c>
    </row>
    <row r="32" spans="1:5" ht="25.5">
      <c r="A32" s="51" t="s">
        <v>1713</v>
      </c>
      <c r="B32" s="410" t="s">
        <v>228</v>
      </c>
      <c r="C32" s="148" t="s">
        <v>235</v>
      </c>
      <c r="D32" s="411">
        <v>786000</v>
      </c>
      <c r="E32" s="411">
        <v>786000</v>
      </c>
    </row>
    <row r="33" spans="1:5">
      <c r="A33" s="406" t="s">
        <v>140</v>
      </c>
      <c r="B33" s="408" t="s">
        <v>23</v>
      </c>
      <c r="C33" s="317" t="s">
        <v>127</v>
      </c>
      <c r="D33" s="409">
        <v>1469973652</v>
      </c>
      <c r="E33" s="409">
        <v>1408907352</v>
      </c>
    </row>
    <row r="34" spans="1:5">
      <c r="A34" s="51" t="s">
        <v>152</v>
      </c>
      <c r="B34" s="410" t="s">
        <v>23</v>
      </c>
      <c r="C34" s="148" t="s">
        <v>131</v>
      </c>
      <c r="D34" s="411">
        <v>434465894</v>
      </c>
      <c r="E34" s="411">
        <v>434465894</v>
      </c>
    </row>
    <row r="35" spans="1:5">
      <c r="A35" s="51" t="s">
        <v>153</v>
      </c>
      <c r="B35" s="410" t="s">
        <v>23</v>
      </c>
      <c r="C35" s="148" t="s">
        <v>223</v>
      </c>
      <c r="D35" s="411">
        <v>809093804</v>
      </c>
      <c r="E35" s="411">
        <v>748027504</v>
      </c>
    </row>
    <row r="36" spans="1:5">
      <c r="A36" s="51" t="s">
        <v>1077</v>
      </c>
      <c r="B36" s="410" t="s">
        <v>23</v>
      </c>
      <c r="C36" s="148" t="s">
        <v>235</v>
      </c>
      <c r="D36" s="411">
        <v>111504911</v>
      </c>
      <c r="E36" s="411">
        <v>111504911</v>
      </c>
    </row>
    <row r="37" spans="1:5">
      <c r="A37" s="51" t="s">
        <v>1075</v>
      </c>
      <c r="B37" s="410" t="s">
        <v>23</v>
      </c>
      <c r="C37" s="148" t="s">
        <v>23</v>
      </c>
      <c r="D37" s="411">
        <v>30881853</v>
      </c>
      <c r="E37" s="411">
        <v>30881853</v>
      </c>
    </row>
    <row r="38" spans="1:5">
      <c r="A38" s="51" t="s">
        <v>4</v>
      </c>
      <c r="B38" s="410" t="s">
        <v>23</v>
      </c>
      <c r="C38" s="148" t="s">
        <v>26</v>
      </c>
      <c r="D38" s="411">
        <v>84027190</v>
      </c>
      <c r="E38" s="411">
        <v>84027190</v>
      </c>
    </row>
    <row r="39" spans="1:5">
      <c r="A39" s="406" t="s">
        <v>249</v>
      </c>
      <c r="B39" s="408" t="s">
        <v>31</v>
      </c>
      <c r="C39" s="317" t="s">
        <v>127</v>
      </c>
      <c r="D39" s="409">
        <v>221952666</v>
      </c>
      <c r="E39" s="409">
        <v>221952666</v>
      </c>
    </row>
    <row r="40" spans="1:5">
      <c r="A40" s="51" t="s">
        <v>209</v>
      </c>
      <c r="B40" s="410" t="s">
        <v>31</v>
      </c>
      <c r="C40" s="148" t="s">
        <v>131</v>
      </c>
      <c r="D40" s="411">
        <v>137262539</v>
      </c>
      <c r="E40" s="411">
        <v>137262539</v>
      </c>
    </row>
    <row r="41" spans="1:5" ht="25.5">
      <c r="A41" s="51" t="s">
        <v>0</v>
      </c>
      <c r="B41" s="410" t="s">
        <v>31</v>
      </c>
      <c r="C41" s="148" t="s">
        <v>237</v>
      </c>
      <c r="D41" s="411">
        <v>84690127</v>
      </c>
      <c r="E41" s="411">
        <v>84690127</v>
      </c>
    </row>
    <row r="42" spans="1:5">
      <c r="A42" s="406" t="s">
        <v>141</v>
      </c>
      <c r="B42" s="408" t="s">
        <v>192</v>
      </c>
      <c r="C42" s="317" t="s">
        <v>127</v>
      </c>
      <c r="D42" s="409">
        <v>66283011.340000004</v>
      </c>
      <c r="E42" s="409">
        <v>68758252.25</v>
      </c>
    </row>
    <row r="43" spans="1:5">
      <c r="A43" s="51" t="s">
        <v>98</v>
      </c>
      <c r="B43" s="410" t="s">
        <v>192</v>
      </c>
      <c r="C43" s="148" t="s">
        <v>235</v>
      </c>
      <c r="D43" s="411">
        <v>61467211.340000004</v>
      </c>
      <c r="E43" s="411">
        <v>62278252.25</v>
      </c>
    </row>
    <row r="44" spans="1:5">
      <c r="A44" s="51" t="s">
        <v>18</v>
      </c>
      <c r="B44" s="410" t="s">
        <v>192</v>
      </c>
      <c r="C44" s="148" t="s">
        <v>237</v>
      </c>
      <c r="D44" s="411">
        <v>3904400</v>
      </c>
      <c r="E44" s="411">
        <v>5568600</v>
      </c>
    </row>
    <row r="45" spans="1:5" ht="25.5">
      <c r="A45" s="51" t="s">
        <v>63</v>
      </c>
      <c r="B45" s="410" t="s">
        <v>192</v>
      </c>
      <c r="C45" s="148" t="s">
        <v>228</v>
      </c>
      <c r="D45" s="411">
        <v>911400</v>
      </c>
      <c r="E45" s="411">
        <v>911400</v>
      </c>
    </row>
    <row r="46" spans="1:5">
      <c r="A46" s="406" t="s">
        <v>248</v>
      </c>
      <c r="B46" s="408" t="s">
        <v>27</v>
      </c>
      <c r="C46" s="317" t="s">
        <v>127</v>
      </c>
      <c r="D46" s="409">
        <v>20396902</v>
      </c>
      <c r="E46" s="409">
        <v>20396902</v>
      </c>
    </row>
    <row r="47" spans="1:5">
      <c r="A47" s="51" t="s">
        <v>1228</v>
      </c>
      <c r="B47" s="410" t="s">
        <v>27</v>
      </c>
      <c r="C47" s="148" t="s">
        <v>131</v>
      </c>
      <c r="D47" s="411">
        <v>19709252</v>
      </c>
      <c r="E47" s="411">
        <v>19709252</v>
      </c>
    </row>
    <row r="48" spans="1:5">
      <c r="A48" s="51" t="s">
        <v>210</v>
      </c>
      <c r="B48" s="410" t="s">
        <v>27</v>
      </c>
      <c r="C48" s="148" t="s">
        <v>223</v>
      </c>
      <c r="D48" s="411">
        <v>687650</v>
      </c>
      <c r="E48" s="411">
        <v>687650</v>
      </c>
    </row>
    <row r="49" spans="1:5" ht="25.5">
      <c r="A49" s="406" t="s">
        <v>1965</v>
      </c>
      <c r="B49" s="408" t="s">
        <v>71</v>
      </c>
      <c r="C49" s="317" t="s">
        <v>127</v>
      </c>
      <c r="D49" s="409">
        <v>24000</v>
      </c>
      <c r="E49" s="409">
        <v>0</v>
      </c>
    </row>
    <row r="50" spans="1:5" ht="25.5">
      <c r="A50" s="51" t="s">
        <v>1967</v>
      </c>
      <c r="B50" s="410" t="s">
        <v>71</v>
      </c>
      <c r="C50" s="148" t="s">
        <v>131</v>
      </c>
      <c r="D50" s="411">
        <v>24000</v>
      </c>
      <c r="E50" s="411">
        <v>0</v>
      </c>
    </row>
    <row r="51" spans="1:5" ht="38.25">
      <c r="A51" s="406" t="s">
        <v>1155</v>
      </c>
      <c r="B51" s="408" t="s">
        <v>73</v>
      </c>
      <c r="C51" s="317" t="s">
        <v>127</v>
      </c>
      <c r="D51" s="409">
        <v>80964800</v>
      </c>
      <c r="E51" s="409">
        <v>80964800</v>
      </c>
    </row>
    <row r="52" spans="1:5" ht="38.25">
      <c r="A52" s="51" t="s">
        <v>211</v>
      </c>
      <c r="B52" s="410" t="s">
        <v>73</v>
      </c>
      <c r="C52" s="148" t="s">
        <v>131</v>
      </c>
      <c r="D52" s="411">
        <v>62824800</v>
      </c>
      <c r="E52" s="411">
        <v>62824800</v>
      </c>
    </row>
    <row r="53" spans="1:5" ht="25.5">
      <c r="A53" s="51" t="s">
        <v>250</v>
      </c>
      <c r="B53" s="410" t="s">
        <v>73</v>
      </c>
      <c r="C53" s="148" t="s">
        <v>235</v>
      </c>
      <c r="D53" s="411">
        <v>18140000</v>
      </c>
      <c r="E53" s="411">
        <v>18140000</v>
      </c>
    </row>
    <row r="54" spans="1:5">
      <c r="A54" s="399" t="s">
        <v>1749</v>
      </c>
      <c r="B54" s="5"/>
      <c r="C54" s="5"/>
      <c r="D54" s="400">
        <v>30000000</v>
      </c>
      <c r="E54" s="401">
        <v>63000000</v>
      </c>
    </row>
  </sheetData>
  <autoFilter ref="A6:E51">
    <filterColumn colId="1"/>
  </autoFilter>
  <mergeCells count="7">
    <mergeCell ref="B5:C5"/>
    <mergeCell ref="A1:E1"/>
    <mergeCell ref="D5:D6"/>
    <mergeCell ref="A2:E2"/>
    <mergeCell ref="A3:E3"/>
    <mergeCell ref="A5:A6"/>
    <mergeCell ref="E5:E6"/>
  </mergeCells>
  <pageMargins left="0.70866141732283472" right="0.31496062992125984" top="0.35433070866141736" bottom="0.35433070866141736"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38</vt:i4>
      </vt:variant>
      <vt:variant>
        <vt:lpstr>Именованные диапазоны</vt:lpstr>
      </vt:variant>
      <vt:variant>
        <vt:i4>156</vt:i4>
      </vt:variant>
    </vt:vector>
  </HeadingPairs>
  <TitlesOfParts>
    <vt:vector size="194" baseType="lpstr">
      <vt:lpstr>Деф</vt:lpstr>
      <vt:lpstr>АдмДох</vt:lpstr>
      <vt:lpstr>АдмИст</vt:lpstr>
      <vt:lpstr>Норм</vt:lpstr>
      <vt:lpstr>Дох </vt:lpstr>
      <vt:lpstr>Вед22</vt:lpstr>
      <vt:lpstr>вед 23-24</vt:lpstr>
      <vt:lpstr>Фун22</vt:lpstr>
      <vt:lpstr>Фун 23-24</vt:lpstr>
      <vt:lpstr>ЦСР 22</vt:lpstr>
      <vt:lpstr>ЦСР 23-24</vt:lpstr>
      <vt:lpstr>ФФП</vt:lpstr>
      <vt:lpstr>адм к</vt:lpstr>
      <vt:lpstr>ВУС</vt:lpstr>
      <vt:lpstr>Молод</vt:lpstr>
      <vt:lpstr>дороги с</vt:lpstr>
      <vt:lpstr>сбал</vt:lpstr>
      <vt:lpstr>пожарка</vt:lpstr>
      <vt:lpstr>пов зп 10</vt:lpstr>
      <vt:lpstr>ак</vt:lpstr>
      <vt:lpstr>дороги кр</vt:lpstr>
      <vt:lpstr>горср 10</vt:lpstr>
      <vt:lpstr>налог п</vt:lpstr>
      <vt:lpstr>ППМИ</vt:lpstr>
      <vt:lpstr>рег вып</vt:lpstr>
      <vt:lpstr>гор ср</vt:lpstr>
      <vt:lpstr>уч УДС</vt:lpstr>
      <vt:lpstr>благ</vt:lpstr>
      <vt:lpstr>благ м</vt:lpstr>
      <vt:lpstr>переселен</vt:lpstr>
      <vt:lpstr>БДД</vt:lpstr>
      <vt:lpstr>переч субс</vt:lpstr>
      <vt:lpstr>публ</vt:lpstr>
      <vt:lpstr>Полн</vt:lpstr>
      <vt:lpstr>софин</vt:lpstr>
      <vt:lpstr>Заим</vt:lpstr>
      <vt:lpstr>спр</vt:lpstr>
      <vt:lpstr>Лист1</vt:lpstr>
      <vt:lpstr>H1благ</vt:lpstr>
      <vt:lpstr>H1благмалое</vt:lpstr>
      <vt:lpstr>H1гор_среда_10</vt:lpstr>
      <vt:lpstr>H1ДК</vt:lpstr>
      <vt:lpstr>H1дороги_50</vt:lpstr>
      <vt:lpstr>H1зппов</vt:lpstr>
      <vt:lpstr>H1пожар</vt:lpstr>
      <vt:lpstr>H1потенциал</vt:lpstr>
      <vt:lpstr>H1УДС</vt:lpstr>
      <vt:lpstr>H2благ</vt:lpstr>
      <vt:lpstr>H2благмалое</vt:lpstr>
      <vt:lpstr>H2гор_среда_10</vt:lpstr>
      <vt:lpstr>H2ДК</vt:lpstr>
      <vt:lpstr>H2дороги_50</vt:lpstr>
      <vt:lpstr>H2зппов</vt:lpstr>
      <vt:lpstr>H2пожар</vt:lpstr>
      <vt:lpstr>H2потенциал</vt:lpstr>
      <vt:lpstr>H2УДС</vt:lpstr>
      <vt:lpstr>АдмДох!год</vt:lpstr>
      <vt:lpstr>год</vt:lpstr>
      <vt:lpstr>'адм к'!Заголовки_для_печати</vt:lpstr>
      <vt:lpstr>АдмДох!Заголовки_для_печати</vt:lpstr>
      <vt:lpstr>АдмИст!Заголовки_для_печати</vt:lpstr>
      <vt:lpstr>'вед 23-24'!Заголовки_для_печати</vt:lpstr>
      <vt:lpstr>Вед22!Заголовки_для_печати</vt:lpstr>
      <vt:lpstr>ВУС!Заголовки_для_печати</vt:lpstr>
      <vt:lpstr>Деф!Заголовки_для_печати</vt:lpstr>
      <vt:lpstr>'Дох '!Заголовки_для_печати</vt:lpstr>
      <vt:lpstr>Молод!Заголовки_для_печати</vt:lpstr>
      <vt:lpstr>Полн!Заголовки_для_печати</vt:lpstr>
      <vt:lpstr>софин!Заголовки_для_печати</vt:lpstr>
      <vt:lpstr>Фун22!Заголовки_для_печати</vt:lpstr>
      <vt:lpstr>ФФП!Заголовки_для_печати</vt:lpstr>
      <vt:lpstr>'ЦСР 22'!Заголовки_для_печати</vt:lpstr>
      <vt:lpstr>АдмДох!квр13</vt:lpstr>
      <vt:lpstr>квр13</vt:lpstr>
      <vt:lpstr>АдмДох!кврПлПер</vt:lpstr>
      <vt:lpstr>кврПлПер</vt:lpstr>
      <vt:lpstr>АдмДох!Н1адох</vt:lpstr>
      <vt:lpstr>Н1адох</vt:lpstr>
      <vt:lpstr>АдмДох!Н1аист</vt:lpstr>
      <vt:lpstr>Н1аист</vt:lpstr>
      <vt:lpstr>Н1акк</vt:lpstr>
      <vt:lpstr>АдмДох!Н1вед</vt:lpstr>
      <vt:lpstr>Н1вед</vt:lpstr>
      <vt:lpstr>АдмДох!Н1вед1</vt:lpstr>
      <vt:lpstr>Н1вед1</vt:lpstr>
      <vt:lpstr>Н1вод</vt:lpstr>
      <vt:lpstr>АдмДох!Н1вус</vt:lpstr>
      <vt:lpstr>Н1вус</vt:lpstr>
      <vt:lpstr>Н1гор_среда</vt:lpstr>
      <vt:lpstr>Н1гранты</vt:lpstr>
      <vt:lpstr>АдмДох!Н1деф</vt:lpstr>
      <vt:lpstr>Н1деф</vt:lpstr>
      <vt:lpstr>Н1Дор</vt:lpstr>
      <vt:lpstr>Н1доркап</vt:lpstr>
      <vt:lpstr>Н1Дороги</vt:lpstr>
      <vt:lpstr>АдмДох!Н1дох</vt:lpstr>
      <vt:lpstr>Н1дох</vt:lpstr>
      <vt:lpstr>Н1займ</vt:lpstr>
      <vt:lpstr>Н1ком</vt:lpstr>
      <vt:lpstr>Н1метвус</vt:lpstr>
      <vt:lpstr>Н1мин</vt:lpstr>
      <vt:lpstr>Н1мол</vt:lpstr>
      <vt:lpstr>Н1Норм</vt:lpstr>
      <vt:lpstr>Н1Перес</vt:lpstr>
      <vt:lpstr>Н1Пересел</vt:lpstr>
      <vt:lpstr>Н1пож</vt:lpstr>
      <vt:lpstr>Н1пожар</vt:lpstr>
      <vt:lpstr>Н1пол</vt:lpstr>
      <vt:lpstr>Н1поощ</vt:lpstr>
      <vt:lpstr>АдмДох!Н1Публ</vt:lpstr>
      <vt:lpstr>Н1Публ</vt:lpstr>
      <vt:lpstr>Н1рег_вып</vt:lpstr>
      <vt:lpstr>Н1сбал</vt:lpstr>
      <vt:lpstr>Н1софин</vt:lpstr>
      <vt:lpstr>Н1фун</vt:lpstr>
      <vt:lpstr>Н1фун1</vt:lpstr>
      <vt:lpstr>АдмДох!Н1ффп</vt:lpstr>
      <vt:lpstr>Н1ффп</vt:lpstr>
      <vt:lpstr>Н1цср</vt:lpstr>
      <vt:lpstr>Н1цср1</vt:lpstr>
      <vt:lpstr>Н2адох</vt:lpstr>
      <vt:lpstr>Н2аист</vt:lpstr>
      <vt:lpstr>Н2акк</vt:lpstr>
      <vt:lpstr>Н2вед</vt:lpstr>
      <vt:lpstr>Н2вед1</vt:lpstr>
      <vt:lpstr>Н2вод</vt:lpstr>
      <vt:lpstr>Н2вус</vt:lpstr>
      <vt:lpstr>Н2гор_среда</vt:lpstr>
      <vt:lpstr>Н2гранты</vt:lpstr>
      <vt:lpstr>Н2деф</vt:lpstr>
      <vt:lpstr>Н2дор</vt:lpstr>
      <vt:lpstr>Н2доркап</vt:lpstr>
      <vt:lpstr>Н2Дороги</vt:lpstr>
      <vt:lpstr>Н2дох</vt:lpstr>
      <vt:lpstr>Н2займ</vt:lpstr>
      <vt:lpstr>Н2ком</vt:lpstr>
      <vt:lpstr>Н2метвус</vt:lpstr>
      <vt:lpstr>Н2мин</vt:lpstr>
      <vt:lpstr>Н2мол</vt:lpstr>
      <vt:lpstr>Н2Норм</vt:lpstr>
      <vt:lpstr>Н2Перес</vt:lpstr>
      <vt:lpstr>Н2Пересел</vt:lpstr>
      <vt:lpstr>Н2пож</vt:lpstr>
      <vt:lpstr>Н2пожар</vt:lpstr>
      <vt:lpstr>Н2пол</vt:lpstr>
      <vt:lpstr>Н2поощ</vt:lpstr>
      <vt:lpstr>Н2публ</vt:lpstr>
      <vt:lpstr>Н2рег_вып</vt:lpstr>
      <vt:lpstr>Н2сбал</vt:lpstr>
      <vt:lpstr>Н2софин</vt:lpstr>
      <vt:lpstr>Н2фун</vt:lpstr>
      <vt:lpstr>Н2фун1</vt:lpstr>
      <vt:lpstr>Н2ффп</vt:lpstr>
      <vt:lpstr>Н2цср</vt:lpstr>
      <vt:lpstr>Н2цср1</vt:lpstr>
      <vt:lpstr>Надох</vt:lpstr>
      <vt:lpstr>'адм к'!Область_печати</vt:lpstr>
      <vt:lpstr>АдмДох!Область_печати</vt:lpstr>
      <vt:lpstr>АдмИст!Область_печати</vt:lpstr>
      <vt:lpstr>ак!Область_печати</vt:lpstr>
      <vt:lpstr>'вед 23-24'!Область_печати</vt:lpstr>
      <vt:lpstr>Вед22!Область_печати</vt:lpstr>
      <vt:lpstr>ВУС!Область_печати</vt:lpstr>
      <vt:lpstr>'гор ср'!Область_печати</vt:lpstr>
      <vt:lpstr>'горср 10'!Область_печати</vt:lpstr>
      <vt:lpstr>Деф!Область_печати</vt:lpstr>
      <vt:lpstr>'дороги с'!Область_печати</vt:lpstr>
      <vt:lpstr>Заим!Область_печати</vt:lpstr>
      <vt:lpstr>Молод!Область_печати</vt:lpstr>
      <vt:lpstr>пожарка!Область_печати</vt:lpstr>
      <vt:lpstr>Полн!Область_печати</vt:lpstr>
      <vt:lpstr>публ!Область_печати</vt:lpstr>
      <vt:lpstr>сбал!Область_печати</vt:lpstr>
      <vt:lpstr>ФФП!Область_печати</vt:lpstr>
      <vt:lpstr>АдмДох!ПлПер</vt:lpstr>
      <vt:lpstr>ПлПер</vt:lpstr>
      <vt:lpstr>АдмДох!Р1дата</vt:lpstr>
      <vt:lpstr>Р1дата</vt:lpstr>
      <vt:lpstr>АдмДох!Р1номер</vt:lpstr>
      <vt:lpstr>Р1номер</vt:lpstr>
      <vt:lpstr>Р2дата</vt:lpstr>
      <vt:lpstr>Р2номер</vt:lpstr>
      <vt:lpstr>АдмДох!РзПз</vt:lpstr>
      <vt:lpstr>РзПз</vt:lpstr>
      <vt:lpstr>АдмДох!РзПзПлПер</vt:lpstr>
      <vt:lpstr>РзПзПлПер</vt:lpstr>
      <vt:lpstr>АдмДох!СумВед</vt:lpstr>
      <vt:lpstr>СумВед</vt:lpstr>
      <vt:lpstr>АдмДох!СумВед14</vt:lpstr>
      <vt:lpstr>СумВед14</vt:lpstr>
      <vt:lpstr>АдмДох!СумВед15</vt:lpstr>
      <vt:lpstr>СумВед15</vt:lpstr>
      <vt:lpstr>цср</vt:lpstr>
      <vt:lpstr>цср1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Adminn</dc:creator>
  <cp:lastModifiedBy>Userrfu</cp:lastModifiedBy>
  <cp:lastPrinted>2023-04-20T07:19:04Z</cp:lastPrinted>
  <dcterms:created xsi:type="dcterms:W3CDTF">2009-03-19T02:39:24Z</dcterms:created>
  <dcterms:modified xsi:type="dcterms:W3CDTF">2023-04-20T07:19:09Z</dcterms:modified>
</cp:coreProperties>
</file>